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mza\Documents\MEM\THESIS\3. Analysis\LA GALVANINA SPA\"/>
    </mc:Choice>
  </mc:AlternateContent>
  <xr:revisionPtr revIDLastSave="0" documentId="13_ncr:1_{2C503301-9C30-42CE-A4CF-FA0BBF3D6122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Ownership" sheetId="6" r:id="rId1"/>
    <sheet name="NetDebt" sheetId="7" r:id="rId2"/>
    <sheet name="Reclassified BS" sheetId="2" r:id="rId3"/>
    <sheet name="Profit&amp;Loss" sheetId="3" r:id="rId4"/>
    <sheet name="CashFlow" sheetId="4" r:id="rId5"/>
    <sheet name="Ratios" sheetId="5" r:id="rId6"/>
    <sheet name="AIDA" sheetId="1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7" l="1"/>
  <c r="E3" i="7"/>
  <c r="F3" i="7"/>
  <c r="G3" i="7"/>
  <c r="H3" i="7"/>
  <c r="I3" i="7"/>
  <c r="D3" i="7"/>
  <c r="E2" i="7"/>
  <c r="F2" i="7"/>
  <c r="F4" i="7" s="1"/>
  <c r="G2" i="7"/>
  <c r="H2" i="7"/>
  <c r="I2" i="7"/>
  <c r="D2" i="7"/>
  <c r="A3" i="7"/>
  <c r="I4" i="7"/>
  <c r="H4" i="7"/>
  <c r="G4" i="7"/>
  <c r="E4" i="7"/>
  <c r="A2" i="7"/>
  <c r="E24" i="5" l="1"/>
  <c r="F24" i="5"/>
  <c r="G24" i="5"/>
  <c r="H24" i="5"/>
  <c r="I24" i="5"/>
  <c r="D24" i="5"/>
  <c r="E21" i="5"/>
  <c r="F21" i="5"/>
  <c r="G21" i="5"/>
  <c r="H21" i="5"/>
  <c r="I21" i="5"/>
  <c r="D21" i="5"/>
  <c r="E20" i="5"/>
  <c r="F20" i="5"/>
  <c r="G20" i="5"/>
  <c r="H20" i="5"/>
  <c r="I20" i="5"/>
  <c r="D20" i="5"/>
  <c r="E8" i="5"/>
  <c r="F8" i="5"/>
  <c r="G8" i="5"/>
  <c r="H8" i="5"/>
  <c r="I8" i="5"/>
  <c r="D8" i="5"/>
  <c r="E7" i="5"/>
  <c r="F7" i="5"/>
  <c r="G7" i="5"/>
  <c r="H7" i="5"/>
  <c r="I7" i="5"/>
  <c r="D7" i="5"/>
  <c r="E6" i="5"/>
  <c r="F6" i="5"/>
  <c r="G6" i="5"/>
  <c r="H6" i="5"/>
  <c r="I6" i="5"/>
  <c r="D6" i="5"/>
  <c r="E5" i="5"/>
  <c r="F5" i="5"/>
  <c r="G5" i="5"/>
  <c r="H5" i="5"/>
  <c r="I5" i="5"/>
  <c r="D5" i="5"/>
  <c r="E4" i="5"/>
  <c r="F4" i="5"/>
  <c r="G4" i="5"/>
  <c r="H4" i="5"/>
  <c r="I4" i="5"/>
  <c r="D4" i="5"/>
  <c r="E16" i="5"/>
  <c r="F16" i="5"/>
  <c r="G16" i="5"/>
  <c r="H16" i="5"/>
  <c r="I16" i="5"/>
  <c r="D16" i="5"/>
  <c r="E15" i="5"/>
  <c r="F15" i="5"/>
  <c r="G15" i="5"/>
  <c r="H15" i="5"/>
  <c r="I15" i="5"/>
  <c r="D15" i="5"/>
  <c r="E14" i="5"/>
  <c r="F14" i="5"/>
  <c r="G14" i="5"/>
  <c r="H14" i="5"/>
  <c r="I14" i="5"/>
  <c r="D14" i="5"/>
  <c r="E13" i="5"/>
  <c r="F13" i="5"/>
  <c r="G13" i="5"/>
  <c r="H13" i="5"/>
  <c r="I13" i="5"/>
  <c r="D13" i="5"/>
  <c r="E12" i="5"/>
  <c r="F12" i="5"/>
  <c r="G12" i="5"/>
  <c r="H12" i="5"/>
  <c r="I12" i="5"/>
  <c r="D12" i="5"/>
  <c r="H17" i="5" l="1"/>
  <c r="G17" i="5"/>
  <c r="I17" i="5"/>
  <c r="F17" i="5"/>
  <c r="E17" i="5"/>
  <c r="D17" i="5"/>
  <c r="H27" i="3"/>
  <c r="H4" i="4" s="1"/>
  <c r="G27" i="3"/>
  <c r="G4" i="4" s="1"/>
  <c r="F27" i="3"/>
  <c r="F4" i="4" s="1"/>
  <c r="E27" i="3"/>
  <c r="E4" i="4" s="1"/>
  <c r="D27" i="3"/>
  <c r="I27" i="3"/>
  <c r="I4" i="4" s="1"/>
  <c r="H24" i="3"/>
  <c r="H15" i="4" s="1"/>
  <c r="G24" i="3"/>
  <c r="G15" i="4" s="1"/>
  <c r="F24" i="3"/>
  <c r="F15" i="4" s="1"/>
  <c r="E24" i="3"/>
  <c r="E15" i="4" s="1"/>
  <c r="D24" i="3"/>
  <c r="I24" i="3"/>
  <c r="I15" i="4" s="1"/>
  <c r="H23" i="3"/>
  <c r="G23" i="3"/>
  <c r="F23" i="3"/>
  <c r="E23" i="3"/>
  <c r="D23" i="3"/>
  <c r="I23" i="3"/>
  <c r="H22" i="3"/>
  <c r="G22" i="3"/>
  <c r="F22" i="3"/>
  <c r="E22" i="3"/>
  <c r="D22" i="3"/>
  <c r="I22" i="3"/>
  <c r="H21" i="3"/>
  <c r="G21" i="3"/>
  <c r="F21" i="3"/>
  <c r="E21" i="3"/>
  <c r="D21" i="3"/>
  <c r="I21" i="3"/>
  <c r="H20" i="3"/>
  <c r="G20" i="3"/>
  <c r="F20" i="3"/>
  <c r="E20" i="3"/>
  <c r="D20" i="3"/>
  <c r="I20" i="3"/>
  <c r="H19" i="3"/>
  <c r="H11" i="4" s="1"/>
  <c r="G19" i="3"/>
  <c r="G11" i="4" s="1"/>
  <c r="F19" i="3"/>
  <c r="F11" i="4" s="1"/>
  <c r="E19" i="3"/>
  <c r="E11" i="4" s="1"/>
  <c r="D19" i="3"/>
  <c r="I19" i="3"/>
  <c r="I11" i="4" s="1"/>
  <c r="H16" i="3"/>
  <c r="G16" i="3"/>
  <c r="F16" i="3"/>
  <c r="E16" i="3"/>
  <c r="D16" i="3"/>
  <c r="I16" i="3"/>
  <c r="H13" i="3"/>
  <c r="G13" i="3"/>
  <c r="F13" i="3"/>
  <c r="E13" i="3"/>
  <c r="D13" i="3"/>
  <c r="I13" i="3"/>
  <c r="H10" i="3"/>
  <c r="G10" i="3"/>
  <c r="F10" i="3"/>
  <c r="E10" i="3"/>
  <c r="D10" i="3"/>
  <c r="I10" i="3"/>
  <c r="H9" i="3"/>
  <c r="G9" i="3"/>
  <c r="F9" i="3"/>
  <c r="E9" i="3"/>
  <c r="D9" i="3"/>
  <c r="I9" i="3"/>
  <c r="H8" i="3"/>
  <c r="G8" i="3"/>
  <c r="F8" i="3"/>
  <c r="E8" i="3"/>
  <c r="D8" i="3"/>
  <c r="I8" i="3"/>
  <c r="H5" i="3"/>
  <c r="G5" i="3"/>
  <c r="F5" i="3"/>
  <c r="E5" i="3"/>
  <c r="D5" i="3"/>
  <c r="I5" i="3"/>
  <c r="H3" i="3"/>
  <c r="G3" i="3"/>
  <c r="F3" i="3"/>
  <c r="E3" i="3"/>
  <c r="D3" i="3"/>
  <c r="D4" i="3" s="1"/>
  <c r="I3" i="3"/>
  <c r="H28" i="2"/>
  <c r="G28" i="2"/>
  <c r="F28" i="2"/>
  <c r="E28" i="2"/>
  <c r="D28" i="2"/>
  <c r="I28" i="2"/>
  <c r="H25" i="2"/>
  <c r="G25" i="2"/>
  <c r="F25" i="2"/>
  <c r="E25" i="2"/>
  <c r="D25" i="2"/>
  <c r="H24" i="2"/>
  <c r="G24" i="2"/>
  <c r="F24" i="2"/>
  <c r="E24" i="2"/>
  <c r="D24" i="2"/>
  <c r="I25" i="2"/>
  <c r="I24" i="2"/>
  <c r="H12" i="2"/>
  <c r="G12" i="2"/>
  <c r="F12" i="2"/>
  <c r="E12" i="2"/>
  <c r="D12" i="2"/>
  <c r="I12" i="2"/>
  <c r="H23" i="2"/>
  <c r="G23" i="2"/>
  <c r="F23" i="2"/>
  <c r="E23" i="2"/>
  <c r="D23" i="2"/>
  <c r="I23" i="2"/>
  <c r="H22" i="2"/>
  <c r="G22" i="2"/>
  <c r="F22" i="2"/>
  <c r="E22" i="2"/>
  <c r="D22" i="2"/>
  <c r="I22" i="2"/>
  <c r="H21" i="2"/>
  <c r="G21" i="2"/>
  <c r="F21" i="2"/>
  <c r="E21" i="2"/>
  <c r="D21" i="2"/>
  <c r="I21" i="2"/>
  <c r="H18" i="2"/>
  <c r="G18" i="2"/>
  <c r="F18" i="2"/>
  <c r="E18" i="2"/>
  <c r="D18" i="2"/>
  <c r="I18" i="2"/>
  <c r="H17" i="2"/>
  <c r="G17" i="2"/>
  <c r="F17" i="2"/>
  <c r="E17" i="2"/>
  <c r="D17" i="2"/>
  <c r="I17" i="2"/>
  <c r="H16" i="2"/>
  <c r="G16" i="2"/>
  <c r="F16" i="2"/>
  <c r="E16" i="2"/>
  <c r="D16" i="2"/>
  <c r="I16" i="2"/>
  <c r="H13" i="2"/>
  <c r="G13" i="2"/>
  <c r="F13" i="2"/>
  <c r="E13" i="2"/>
  <c r="D13" i="2"/>
  <c r="I13" i="2"/>
  <c r="H10" i="2"/>
  <c r="G10" i="2"/>
  <c r="F10" i="2"/>
  <c r="E10" i="2"/>
  <c r="D10" i="2"/>
  <c r="I10" i="2"/>
  <c r="H9" i="2"/>
  <c r="G9" i="2"/>
  <c r="F9" i="2"/>
  <c r="E9" i="2"/>
  <c r="D9" i="2"/>
  <c r="I9" i="2"/>
  <c r="H8" i="2"/>
  <c r="G8" i="2"/>
  <c r="F8" i="2"/>
  <c r="E8" i="2"/>
  <c r="D8" i="2"/>
  <c r="I8" i="2"/>
  <c r="H7" i="2"/>
  <c r="G7" i="2"/>
  <c r="F7" i="2"/>
  <c r="E7" i="2"/>
  <c r="D7" i="2"/>
  <c r="I7" i="2"/>
  <c r="H5" i="2"/>
  <c r="G5" i="2"/>
  <c r="F5" i="2"/>
  <c r="E5" i="2"/>
  <c r="D5" i="2"/>
  <c r="I5" i="2"/>
  <c r="H4" i="2"/>
  <c r="G4" i="2"/>
  <c r="F4" i="2"/>
  <c r="E4" i="2"/>
  <c r="D4" i="2"/>
  <c r="I4" i="2"/>
  <c r="I3" i="2"/>
  <c r="H3" i="2"/>
  <c r="G3" i="2"/>
  <c r="F3" i="2"/>
  <c r="E3" i="2"/>
  <c r="D3" i="2"/>
  <c r="H5" i="4" l="1"/>
  <c r="G5" i="4"/>
  <c r="E8" i="4"/>
  <c r="F6" i="4"/>
  <c r="E6" i="3"/>
  <c r="E7" i="3" s="1"/>
  <c r="H7" i="4"/>
  <c r="E6" i="4"/>
  <c r="G7" i="4"/>
  <c r="F5" i="4"/>
  <c r="F8" i="4"/>
  <c r="H6" i="4"/>
  <c r="G17" i="4"/>
  <c r="I6" i="4"/>
  <c r="I5" i="4"/>
  <c r="E7" i="4"/>
  <c r="G8" i="4"/>
  <c r="I18" i="4"/>
  <c r="H17" i="4"/>
  <c r="I8" i="4"/>
  <c r="E5" i="4"/>
  <c r="G6" i="4"/>
  <c r="I7" i="4"/>
  <c r="E17" i="4"/>
  <c r="F17" i="4"/>
  <c r="F18" i="4"/>
  <c r="E18" i="4"/>
  <c r="G18" i="4"/>
  <c r="F7" i="4"/>
  <c r="I17" i="4"/>
  <c r="H18" i="4"/>
  <c r="G13" i="4"/>
  <c r="H8" i="4"/>
  <c r="F13" i="4"/>
  <c r="E13" i="4"/>
  <c r="H13" i="4"/>
  <c r="I13" i="4"/>
  <c r="I19" i="4"/>
  <c r="G19" i="4"/>
  <c r="H19" i="4"/>
  <c r="F19" i="4"/>
  <c r="E19" i="4"/>
  <c r="I4" i="3"/>
  <c r="D6" i="3"/>
  <c r="D7" i="3" s="1"/>
  <c r="G14" i="2"/>
  <c r="G4" i="3"/>
  <c r="F4" i="3"/>
  <c r="E4" i="3"/>
  <c r="H4" i="3"/>
  <c r="G6" i="3"/>
  <c r="H6" i="3"/>
  <c r="I6" i="3"/>
  <c r="F6" i="3"/>
  <c r="D14" i="2"/>
  <c r="F14" i="2"/>
  <c r="I19" i="2"/>
  <c r="H14" i="2"/>
  <c r="I11" i="2"/>
  <c r="D6" i="2"/>
  <c r="E6" i="2"/>
  <c r="E11" i="2"/>
  <c r="H6" i="2"/>
  <c r="F19" i="2"/>
  <c r="H11" i="2"/>
  <c r="E19" i="2"/>
  <c r="I6" i="2"/>
  <c r="D19" i="2"/>
  <c r="E26" i="2"/>
  <c r="H26" i="2"/>
  <c r="F26" i="2"/>
  <c r="G19" i="2"/>
  <c r="F6" i="2"/>
  <c r="E14" i="2"/>
  <c r="G6" i="2"/>
  <c r="D11" i="2"/>
  <c r="F11" i="2"/>
  <c r="H19" i="2"/>
  <c r="G11" i="2"/>
  <c r="I14" i="2"/>
  <c r="G26" i="2"/>
  <c r="D26" i="2"/>
  <c r="I26" i="2"/>
  <c r="E11" i="3" l="1"/>
  <c r="E14" i="3" s="1"/>
  <c r="E3" i="4" s="1"/>
  <c r="F9" i="4"/>
  <c r="H29" i="2"/>
  <c r="I9" i="4"/>
  <c r="I29" i="2"/>
  <c r="E29" i="2"/>
  <c r="D29" i="2"/>
  <c r="G29" i="2"/>
  <c r="H14" i="4"/>
  <c r="F29" i="2"/>
  <c r="G10" i="4"/>
  <c r="H9" i="4"/>
  <c r="G9" i="4"/>
  <c r="E9" i="4"/>
  <c r="F14" i="4"/>
  <c r="I10" i="4"/>
  <c r="F10" i="4"/>
  <c r="E10" i="4"/>
  <c r="H10" i="4"/>
  <c r="G14" i="4"/>
  <c r="I14" i="4"/>
  <c r="E14" i="4"/>
  <c r="D11" i="3"/>
  <c r="D27" i="2" s="1"/>
  <c r="G15" i="2"/>
  <c r="G20" i="2" s="1"/>
  <c r="I11" i="3"/>
  <c r="I22" i="5" s="1"/>
  <c r="I7" i="3"/>
  <c r="H11" i="3"/>
  <c r="H27" i="2" s="1"/>
  <c r="H7" i="3"/>
  <c r="F11" i="3"/>
  <c r="F27" i="2" s="1"/>
  <c r="F7" i="3"/>
  <c r="G11" i="3"/>
  <c r="G27" i="2" s="1"/>
  <c r="G7" i="3"/>
  <c r="D15" i="2"/>
  <c r="D20" i="2" s="1"/>
  <c r="I15" i="2"/>
  <c r="I20" i="2" s="1"/>
  <c r="F15" i="2"/>
  <c r="F20" i="2" s="1"/>
  <c r="H15" i="2"/>
  <c r="H20" i="2" s="1"/>
  <c r="E15" i="2"/>
  <c r="E20" i="2" s="1"/>
  <c r="D22" i="5" l="1"/>
  <c r="I27" i="2"/>
  <c r="I23" i="5"/>
  <c r="E22" i="5"/>
  <c r="H22" i="5"/>
  <c r="F22" i="5"/>
  <c r="H31" i="2"/>
  <c r="G22" i="5"/>
  <c r="G31" i="2"/>
  <c r="E27" i="2"/>
  <c r="E12" i="3"/>
  <c r="I31" i="2"/>
  <c r="D14" i="3"/>
  <c r="D17" i="3" s="1"/>
  <c r="F31" i="2"/>
  <c r="D12" i="3"/>
  <c r="E31" i="2"/>
  <c r="D31" i="2"/>
  <c r="E12" i="4"/>
  <c r="E16" i="4" s="1"/>
  <c r="F14" i="3"/>
  <c r="F3" i="4" s="1"/>
  <c r="F12" i="4" s="1"/>
  <c r="F16" i="4" s="1"/>
  <c r="F12" i="3"/>
  <c r="H14" i="3"/>
  <c r="H3" i="4" s="1"/>
  <c r="H12" i="4" s="1"/>
  <c r="H16" i="4" s="1"/>
  <c r="H12" i="3"/>
  <c r="G14" i="3"/>
  <c r="G3" i="4" s="1"/>
  <c r="G12" i="4" s="1"/>
  <c r="G16" i="4" s="1"/>
  <c r="G12" i="3"/>
  <c r="I14" i="3"/>
  <c r="I3" i="4" s="1"/>
  <c r="I12" i="4" s="1"/>
  <c r="I16" i="4" s="1"/>
  <c r="I12" i="3"/>
  <c r="E17" i="3"/>
  <c r="E15" i="3"/>
  <c r="I20" i="4" l="1"/>
  <c r="H23" i="5"/>
  <c r="G20" i="4"/>
  <c r="F23" i="5"/>
  <c r="E20" i="4"/>
  <c r="D23" i="5"/>
  <c r="H20" i="4"/>
  <c r="G23" i="5"/>
  <c r="F20" i="4"/>
  <c r="E23" i="5"/>
  <c r="D15" i="3"/>
  <c r="I17" i="3"/>
  <c r="I15" i="3"/>
  <c r="G17" i="3"/>
  <c r="G15" i="3"/>
  <c r="H17" i="3"/>
  <c r="H15" i="3"/>
  <c r="E25" i="3"/>
  <c r="E18" i="3"/>
  <c r="D18" i="3"/>
  <c r="D25" i="3"/>
  <c r="F17" i="3"/>
  <c r="F15" i="3"/>
  <c r="E28" i="3" l="1"/>
  <c r="E26" i="3"/>
  <c r="H25" i="3"/>
  <c r="H18" i="3"/>
  <c r="F25" i="3"/>
  <c r="F18" i="3"/>
  <c r="G25" i="3"/>
  <c r="G18" i="3"/>
  <c r="D28" i="3"/>
  <c r="D29" i="3" s="1"/>
  <c r="D26" i="3"/>
  <c r="I25" i="3"/>
  <c r="I18" i="3"/>
  <c r="E29" i="3" l="1"/>
  <c r="E21" i="4"/>
  <c r="E22" i="4" s="1"/>
  <c r="E24" i="4" s="1"/>
  <c r="E26" i="4" s="1"/>
  <c r="F28" i="3"/>
  <c r="F26" i="3"/>
  <c r="I28" i="3"/>
  <c r="I26" i="3"/>
  <c r="H28" i="3"/>
  <c r="H26" i="3"/>
  <c r="G28" i="3"/>
  <c r="G26" i="3"/>
  <c r="G29" i="3" l="1"/>
  <c r="G21" i="4"/>
  <c r="G22" i="4" s="1"/>
  <c r="G24" i="4" s="1"/>
  <c r="G26" i="4" s="1"/>
  <c r="H29" i="3"/>
  <c r="H21" i="4"/>
  <c r="H22" i="4" s="1"/>
  <c r="H24" i="4" s="1"/>
  <c r="H26" i="4" s="1"/>
  <c r="I29" i="3"/>
  <c r="I21" i="4"/>
  <c r="I22" i="4" s="1"/>
  <c r="I24" i="4" s="1"/>
  <c r="I26" i="4" s="1"/>
  <c r="F29" i="3"/>
  <c r="F21" i="4"/>
  <c r="F22" i="4" s="1"/>
  <c r="F24" i="4" s="1"/>
  <c r="F2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tc={D1A8EF12-15DC-48CD-8155-6B8D075CB640}</author>
    <author>tc={74AE8F78-B7FF-41F7-A422-73A75107CC24}</author>
  </authors>
  <commentList>
    <comment ref="F11" authorId="0" shapeId="0" xr:uid="{D1A8EF12-15DC-48CD-8155-6B8D075CB640}">
      <text>
        <t>[Threaded comment]
Your version of Excel allows you to read this threaded comment; however, any edits to it will get removed if the file is opened in a newer version of Excel. Learn more: https://go.microsoft.com/fwlink/?linkid=870924
Comment:
    No info available on financial statements</t>
      </text>
    </comment>
    <comment ref="F14" authorId="1" shapeId="0" xr:uid="{74AE8F78-B7FF-41F7-A422-73A75107CC24}">
      <text>
        <t>[Threaded comment]
Your version of Excel allows you to read this threaded comment; however, any edits to it will get removed if the file is opened in a newer version of Excel. Learn more: https://go.microsoft.com/fwlink/?linkid=870924
Comment:
    Cash outflow paid to pre-existing sharholders as a premium and recorded as goodwill</t>
      </text>
    </comment>
  </commentList>
</comments>
</file>

<file path=xl/sharedStrings.xml><?xml version="1.0" encoding="utf-8"?>
<sst xmlns="http://schemas.openxmlformats.org/spreadsheetml/2006/main" count="450" uniqueCount="404">
  <si>
    <t>Balance sheet</t>
  </si>
  <si>
    <t>Consolidated</t>
  </si>
  <si>
    <t>31/12/2022
EUR</t>
  </si>
  <si>
    <t>31/12/2021
EUR</t>
  </si>
  <si>
    <t>31/12/2020
EUR</t>
  </si>
  <si>
    <t>31/12/2019
EUR</t>
  </si>
  <si>
    <t>31/12/2018
EUR</t>
  </si>
  <si>
    <t>31/12/2017
EUR</t>
  </si>
  <si>
    <t>12 months
Detailed
ICS</t>
  </si>
  <si>
    <t>Assets</t>
  </si>
  <si>
    <t xml:space="preserve"> A. TOTAL receivables due from shareholders</t>
  </si>
  <si>
    <t xml:space="preserve">   Called share capital</t>
  </si>
  <si>
    <t xml:space="preserve"> B. TOTAL FIXED ASSETS</t>
  </si>
  <si>
    <t xml:space="preserve">  B.I. TOTAL INTANGIBLE FIXED ASSETS</t>
  </si>
  <si>
    <t xml:space="preserve">   B.I.1. Start-up and expansion costs</t>
  </si>
  <si>
    <t xml:space="preserve">   B.I.2. Research and dev. exp.</t>
  </si>
  <si>
    <t xml:space="preserve">   B.I.3. Ind. patents and intellect. property rights</t>
  </si>
  <si>
    <t xml:space="preserve">   B.I.4. Concessions, licenses, trademarks and similar rights</t>
  </si>
  <si>
    <t xml:space="preserve">   B.I.5. Goodwill/Consolidation Difference</t>
  </si>
  <si>
    <t xml:space="preserve">    including: Goodwill</t>
  </si>
  <si>
    <t xml:space="preserve">   B.I.6. Additions in progress and advances</t>
  </si>
  <si>
    <t xml:space="preserve">   B.I.7. Others</t>
  </si>
  <si>
    <t xml:space="preserve">   (Amortization provision)</t>
  </si>
  <si>
    <t xml:space="preserve">  B.II. TOTAL TANGIBLE FIXED ASSETS</t>
  </si>
  <si>
    <t xml:space="preserve">    including: leased tangible assets</t>
  </si>
  <si>
    <t xml:space="preserve">   B.II.1. Land and buildings</t>
  </si>
  <si>
    <t xml:space="preserve">   B.II.2. Plant and machinery</t>
  </si>
  <si>
    <t xml:space="preserve">   B.II.3. Indust. and commercial equipment</t>
  </si>
  <si>
    <t xml:space="preserve">   B.II.4. Other assets</t>
  </si>
  <si>
    <t xml:space="preserve">   B.II.5. Additions in progress and advances</t>
  </si>
  <si>
    <t xml:space="preserve">   (Depreciation provision)</t>
  </si>
  <si>
    <t xml:space="preserve">  B.III. TOTAL FINANCIAL FIXED ASSETS</t>
  </si>
  <si>
    <t xml:space="preserve">    including: short term</t>
  </si>
  <si>
    <t xml:space="preserve">   B.III.1. Total equity investments</t>
  </si>
  <si>
    <t xml:space="preserve">    B.III.1.a. Subsidiary companies</t>
  </si>
  <si>
    <t xml:space="preserve">    B.III.1.b. Associated companies</t>
  </si>
  <si>
    <t xml:space="preserve">    B.III.1.c. Parent companies</t>
  </si>
  <si>
    <t xml:space="preserve">    B.III.1.d. Companies under parent companies control</t>
  </si>
  <si>
    <t xml:space="preserve">    B.III.1.d.bis. Other companies</t>
  </si>
  <si>
    <t xml:space="preserve">   B.III.2. Total Receivables</t>
  </si>
  <si>
    <t xml:space="preserve">    B.III.2.a. Due from subsidiary comp.</t>
  </si>
  <si>
    <t xml:space="preserve">    B.III.2.a. Due from subs. comp. - beyond 12 months</t>
  </si>
  <si>
    <t xml:space="preserve">    B.III.2.b. Due from assoc. comp.</t>
  </si>
  <si>
    <t xml:space="preserve">    B.III.2.b. Due from assoc. comp. - beyond 12 months</t>
  </si>
  <si>
    <t xml:space="preserve">    B.III.2.c. Due from parent comp.</t>
  </si>
  <si>
    <t xml:space="preserve">    B.III.2.c. Due from parent comp. - beyond 12 months</t>
  </si>
  <si>
    <t xml:space="preserve">    B.III.2.d. Due from comp. under parent companies control</t>
  </si>
  <si>
    <t xml:space="preserve">    B.III.2.d. Due from comp. under parent companies control - beyond 12 months</t>
  </si>
  <si>
    <t xml:space="preserve">    B.III.2.d.bis. Due from other comp.</t>
  </si>
  <si>
    <t xml:space="preserve">    B.III.2.d.bis Due from other comp. - beyond 12 months</t>
  </si>
  <si>
    <t xml:space="preserve">   B.III. FINANCIAL RECEIV. WITHIN 12 MONTHS</t>
  </si>
  <si>
    <t xml:space="preserve">   B.III. FINANCIAL RECEIV. BEYOND 12 MONTHS</t>
  </si>
  <si>
    <t xml:space="preserve">   B.III.3. Other securities</t>
  </si>
  <si>
    <t xml:space="preserve">   B.III.3.bis. Own shares</t>
  </si>
  <si>
    <t xml:space="preserve">   B.III.4. Derivatives</t>
  </si>
  <si>
    <t xml:space="preserve">   Own shares: par value</t>
  </si>
  <si>
    <t xml:space="preserve"> C. TOTAL CURRENT ASSETS</t>
  </si>
  <si>
    <t xml:space="preserve">  C.I. TOTAL INVENTORIES</t>
  </si>
  <si>
    <t xml:space="preserve">   C.I.1. Raw and consumable materials</t>
  </si>
  <si>
    <t xml:space="preserve">   C.I.2. Work in progress and semifinished products</t>
  </si>
  <si>
    <t xml:space="preserve">   C.I.3. Contract work in progress</t>
  </si>
  <si>
    <t xml:space="preserve">   C.I.4. Finished products and goods</t>
  </si>
  <si>
    <t xml:space="preserve">   C.I.5. Advances</t>
  </si>
  <si>
    <t xml:space="preserve">   Tangible fixed assets to be sold</t>
  </si>
  <si>
    <t xml:space="preserve">  C.II. TOTAL RECEIVABLES</t>
  </si>
  <si>
    <t xml:space="preserve">   C.II.1. Trade accounts</t>
  </si>
  <si>
    <t xml:space="preserve">   C.II.1. Trade accounts - beyond 12 months</t>
  </si>
  <si>
    <t xml:space="preserve">   C.II.2. Due from subs. comp.</t>
  </si>
  <si>
    <t xml:space="preserve">   C.II.2. Due from subs. comp. - beyond 12 months</t>
  </si>
  <si>
    <t xml:space="preserve">   C.II.3. Due from assoc. comp.</t>
  </si>
  <si>
    <t xml:space="preserve">   C.II.3. Due from assoc. comp. - beyond 12 months</t>
  </si>
  <si>
    <t xml:space="preserve">   C.II.4. Due from parent comp.</t>
  </si>
  <si>
    <t xml:space="preserve">   C.II.4. Due from parent comp. - beyond 12 months</t>
  </si>
  <si>
    <t xml:space="preserve">   C.II.5. Due from comp. under parent companies control</t>
  </si>
  <si>
    <t xml:space="preserve">   C.II.5. Due from comp. under parent companies control - beyond 12 months</t>
  </si>
  <si>
    <t xml:space="preserve">   C.II.5.bis. Tax receivables</t>
  </si>
  <si>
    <t xml:space="preserve">   C.II.5.bis. Tax receiv. - beyond 12 months</t>
  </si>
  <si>
    <t xml:space="preserve">   C.II.5.ter. Tax receiv. for prepaid taxes</t>
  </si>
  <si>
    <t xml:space="preserve">   C.II.5.ter. Tax receiv. for prepaid taxes - beyond 12 months</t>
  </si>
  <si>
    <t xml:space="preserve">   C.II.5.quater. Receiv. due from others</t>
  </si>
  <si>
    <t xml:space="preserve">   C.II.5.quater. Receiv. due from others - beyond 12 months</t>
  </si>
  <si>
    <t xml:space="preserve">   C.II. RECEIV. DUE WITHIN 12 MONTHS</t>
  </si>
  <si>
    <t xml:space="preserve">   Amounts due for advance taxation</t>
  </si>
  <si>
    <t xml:space="preserve">   C.II. RECEIV. DUE BEYOND 12 MONTHS</t>
  </si>
  <si>
    <t xml:space="preserve">  C.III. TOTAL FINANCIAL ASSETS</t>
  </si>
  <si>
    <t xml:space="preserve">   C.III.1. Invest. in subs. comp.</t>
  </si>
  <si>
    <t xml:space="preserve">   C.III.2. Invest. in assoc. comp.</t>
  </si>
  <si>
    <t xml:space="preserve">   C.III.3. Invest. in parent comp.</t>
  </si>
  <si>
    <t xml:space="preserve">   C.III.3.bis. Invest. in comp. under parent companies control</t>
  </si>
  <si>
    <t xml:space="preserve">   C.III.4. Other investments</t>
  </si>
  <si>
    <t xml:space="preserve">   C.III.4.bis. Own shares</t>
  </si>
  <si>
    <t xml:space="preserve">   C.III.5. Derivatives</t>
  </si>
  <si>
    <t xml:space="preserve">   C.III.6. Other securities</t>
  </si>
  <si>
    <t xml:space="preserve">   C.III.7. Financial instruments for cash pooling</t>
  </si>
  <si>
    <t xml:space="preserve">  C.IV. TOTAL LIQUID FUNDS</t>
  </si>
  <si>
    <t xml:space="preserve">   C.IV.1. Bank and postal deposits</t>
  </si>
  <si>
    <t xml:space="preserve">   C.IV.2. Checks</t>
  </si>
  <si>
    <t xml:space="preserve">   C.IV.3. Cash and cash equivalents</t>
  </si>
  <si>
    <t xml:space="preserve"> D. TOTAL ACCRUED INCOME AND PREPAID EXPENSES</t>
  </si>
  <si>
    <t xml:space="preserve">  Accrued income and prepaid exp.</t>
  </si>
  <si>
    <t xml:space="preserve"> TOTAL ASSETS</t>
  </si>
  <si>
    <t xml:space="preserve"> Liabilities</t>
  </si>
  <si>
    <t xml:space="preserve"> Shareholders' funds</t>
  </si>
  <si>
    <t xml:space="preserve"> A. TOTAL SHAREHOLDERS' FUNDS</t>
  </si>
  <si>
    <t xml:space="preserve">  A.I. Capital stock</t>
  </si>
  <si>
    <t xml:space="preserve">   including: Prepaid call from shareholders</t>
  </si>
  <si>
    <t xml:space="preserve">   including: Deposits for future capital increase</t>
  </si>
  <si>
    <t xml:space="preserve">   including: Deposits for  capital</t>
  </si>
  <si>
    <t xml:space="preserve">   including: Deposits for  loss covering</t>
  </si>
  <si>
    <t xml:space="preserve">  A.II. Share premium reserve</t>
  </si>
  <si>
    <t xml:space="preserve">  A.III. Revaluation reserves</t>
  </si>
  <si>
    <t xml:space="preserve">  A.IV. Legal reserve</t>
  </si>
  <si>
    <t xml:space="preserve">  A.V. Statutory reserves</t>
  </si>
  <si>
    <t xml:space="preserve">  Reserve for treasury stock</t>
  </si>
  <si>
    <t xml:space="preserve">  A.VI. Other reserves</t>
  </si>
  <si>
    <t xml:space="preserve">  GROUP consolidation reserve</t>
  </si>
  <si>
    <t xml:space="preserve">  A.VII. Reserve for expected cash flow hedge</t>
  </si>
  <si>
    <t xml:space="preserve">  A.VIII. Retained earnings (losses)</t>
  </si>
  <si>
    <t xml:space="preserve">  A.IX. Profit (loss) for the year</t>
  </si>
  <si>
    <t xml:space="preserve">   Dividend down payment</t>
  </si>
  <si>
    <t xml:space="preserve">   Partial covering for loss of the year</t>
  </si>
  <si>
    <t xml:space="preserve">  A.X. Negative reserves for own shares (+/-)</t>
  </si>
  <si>
    <t xml:space="preserve">  Group capital stock and reserves</t>
  </si>
  <si>
    <t xml:space="preserve">  Minority interests in cap. and reserves</t>
  </si>
  <si>
    <t xml:space="preserve">   including: deferred taxes</t>
  </si>
  <si>
    <t xml:space="preserve">  Minority interests in profit (loss) for the year</t>
  </si>
  <si>
    <t xml:space="preserve">  MINORITY INTERESTS SHAREHOLDERS' FUNDS</t>
  </si>
  <si>
    <t xml:space="preserve"> B. TOTAL PROVISIONS FOR RISKS AND CHARGES</t>
  </si>
  <si>
    <t xml:space="preserve">  B.1. Employee pensions and similar obligations</t>
  </si>
  <si>
    <t xml:space="preserve">  B.2. Taxation (including deferred taxation)</t>
  </si>
  <si>
    <t xml:space="preserve">  B.3. Derivative liabilities</t>
  </si>
  <si>
    <t xml:space="preserve">  B.4. Other provisions</t>
  </si>
  <si>
    <t xml:space="preserve">  of which: consolidation provision</t>
  </si>
  <si>
    <t xml:space="preserve"> C. SEVERANCE INDEMNITY RESERVE</t>
  </si>
  <si>
    <t xml:space="preserve"> Payables</t>
  </si>
  <si>
    <t xml:space="preserve"> D. TOTAL PAYABLES</t>
  </si>
  <si>
    <t xml:space="preserve">  D.1. Bonds</t>
  </si>
  <si>
    <t xml:space="preserve">  D.1. Bonds beyond 12 months</t>
  </si>
  <si>
    <t xml:space="preserve">  D.2. Convertible bonds</t>
  </si>
  <si>
    <t xml:space="preserve">  D.2. Convertible bonds - beyond 12 months</t>
  </si>
  <si>
    <t xml:space="preserve">  D.3. Due to shareholders for loans</t>
  </si>
  <si>
    <t xml:space="preserve">  D.3. Due to shareholders for loans - beyond 12 months</t>
  </si>
  <si>
    <t xml:space="preserve">  D.4. Due to banks</t>
  </si>
  <si>
    <t xml:space="preserve">  D.4. Due to banks - beyond 12 months</t>
  </si>
  <si>
    <t xml:space="preserve">  D.5. Due to other lenders</t>
  </si>
  <si>
    <t xml:space="preserve">  D.5. Due to other lenders - beyond 12 months</t>
  </si>
  <si>
    <t xml:space="preserve">  D.6. Advances</t>
  </si>
  <si>
    <t xml:space="preserve">  D.6. Advances - beyond 12 months</t>
  </si>
  <si>
    <t xml:space="preserve">  D.7. Due to suppliers</t>
  </si>
  <si>
    <t xml:space="preserve">  D.7. Due to suppliers - beyond 12 months</t>
  </si>
  <si>
    <t xml:space="preserve">  D.8. Negotiable instruments</t>
  </si>
  <si>
    <t xml:space="preserve">  D.8. Negotiable instruments - beyond 12 months</t>
  </si>
  <si>
    <t xml:space="preserve">  D.9. Due to subsidiary companies</t>
  </si>
  <si>
    <t xml:space="preserve">  D.9. Due to subsidiary companies - beyond 12 months</t>
  </si>
  <si>
    <t xml:space="preserve">  D.10. Due to associated companies</t>
  </si>
  <si>
    <t xml:space="preserve">  D.10. Due to associated companies -beyond 12 months</t>
  </si>
  <si>
    <t xml:space="preserve">  D.11. Due to parent companies</t>
  </si>
  <si>
    <t xml:space="preserve">  D.11. Due to parent companies beyond 12 months</t>
  </si>
  <si>
    <t xml:space="preserve">  D.11.bis. Due to comp. under parent companies control</t>
  </si>
  <si>
    <t xml:space="preserve">  D.11.bis. Due to comp. under parent companies control - beyond 12 month</t>
  </si>
  <si>
    <t xml:space="preserve">  D.12. Tax payable</t>
  </si>
  <si>
    <t xml:space="preserve">  D.12. Tax payable beyond 12 months</t>
  </si>
  <si>
    <t xml:space="preserve">  D.13. Due to social security institutions</t>
  </si>
  <si>
    <t xml:space="preserve">  D.13. Due to social security institutions - beyond 12 months</t>
  </si>
  <si>
    <t xml:space="preserve">  D.14. Other payables</t>
  </si>
  <si>
    <t xml:space="preserve">  D.14. Other payables beyond 12 months</t>
  </si>
  <si>
    <t xml:space="preserve">  D. Payables due within 12 months</t>
  </si>
  <si>
    <t xml:space="preserve">  D. Payables due beyond 12 months</t>
  </si>
  <si>
    <t xml:space="preserve">  Total payables during period</t>
  </si>
  <si>
    <t xml:space="preserve">  Total payables after period</t>
  </si>
  <si>
    <t xml:space="preserve"> E. TOTAL ACCRUED EXPENSES AND DEFERRED INCOME</t>
  </si>
  <si>
    <t xml:space="preserve">  Fees on loans</t>
  </si>
  <si>
    <t xml:space="preserve"> TOTAL LIABILITIES AND SHAREHOLDERS' FUNDS</t>
  </si>
  <si>
    <t xml:space="preserve"> TOTAL MEMORANDUM ACCOUNTS</t>
  </si>
  <si>
    <t xml:space="preserve">  TOTAL WARRANTIES SUPPLIED</t>
  </si>
  <si>
    <t>Profit and loss account</t>
  </si>
  <si>
    <t xml:space="preserve"> A. TOTAL VALUE OF PRODUCTION</t>
  </si>
  <si>
    <t xml:space="preserve">  A.1. Revenues from sales and services</t>
  </si>
  <si>
    <t xml:space="preserve">  A.2. Changes in inventories</t>
  </si>
  <si>
    <t xml:space="preserve">  A.3. Changes in contract work in progress</t>
  </si>
  <si>
    <t xml:space="preserve">  A.2. + A.3. Total changes</t>
  </si>
  <si>
    <t xml:space="preserve">  A.4. Additions to fixed assets</t>
  </si>
  <si>
    <t xml:space="preserve">  A.5. Other revenue</t>
  </si>
  <si>
    <t xml:space="preserve">  operating grants</t>
  </si>
  <si>
    <t xml:space="preserve"> B. TOTAL PRODUCTION COSTS</t>
  </si>
  <si>
    <t xml:space="preserve">  B.6. Raw, consum. mat. and goods for resale</t>
  </si>
  <si>
    <t xml:space="preserve">  B.7. Services</t>
  </si>
  <si>
    <t xml:space="preserve">  B.8. Use of third parties assets</t>
  </si>
  <si>
    <t xml:space="preserve">  B.9. Total personnel costs</t>
  </si>
  <si>
    <t xml:space="preserve">   B.9.a. Wages and salaries</t>
  </si>
  <si>
    <t xml:space="preserve">   B.9.b. Social security charges</t>
  </si>
  <si>
    <t xml:space="preserve">   B.9.c. Severance indemnities</t>
  </si>
  <si>
    <t xml:space="preserve">   B.9.d. Pensions and similar obligations</t>
  </si>
  <si>
    <t xml:space="preserve">   B.9.e. Other costs</t>
  </si>
  <si>
    <t xml:space="preserve">   B.9.f. Severance indemnity + Pension + Other costs</t>
  </si>
  <si>
    <t xml:space="preserve">  B.10. Total depreciation, amortization and writedowns</t>
  </si>
  <si>
    <t xml:space="preserve">   B.10.a. Amort. of intangible fixed assets</t>
  </si>
  <si>
    <t xml:space="preserve">   B.10.b. Depr. of tangible fixed assets</t>
  </si>
  <si>
    <t xml:space="preserve">   B.10.c. Writedown of fixed assets</t>
  </si>
  <si>
    <t xml:space="preserve">   B.10.a+b+c. Depreciation, amortization and writedowns of fixed assets</t>
  </si>
  <si>
    <t xml:space="preserve">   B.10.d. Writedown of receivables</t>
  </si>
  <si>
    <t xml:space="preserve">  B.11. Change in inventory of raw and consumable materials</t>
  </si>
  <si>
    <t xml:space="preserve">  B.12. Provisions fo risks and charges</t>
  </si>
  <si>
    <t xml:space="preserve">  B.13. Other provisions</t>
  </si>
  <si>
    <t xml:space="preserve">  B.14. Other operating expenses</t>
  </si>
  <si>
    <t xml:space="preserve"> OPERATING MARGIN</t>
  </si>
  <si>
    <t xml:space="preserve"> Added Value</t>
  </si>
  <si>
    <t xml:space="preserve"> C. TOTAL FINANCIAL INCOME AND CHARGES</t>
  </si>
  <si>
    <t xml:space="preserve">  C.15. Total income from equity investments</t>
  </si>
  <si>
    <t xml:space="preserve">  of which: from subsidiaries, associated, parent cies and cies under parent cies control</t>
  </si>
  <si>
    <t xml:space="preserve">   of which: from parent companies</t>
  </si>
  <si>
    <t xml:space="preserve">   of which: from companies under parent companies control</t>
  </si>
  <si>
    <t xml:space="preserve">  C.16. Total other financial income</t>
  </si>
  <si>
    <t xml:space="preserve">   C.16.a. From financial receivables</t>
  </si>
  <si>
    <t xml:space="preserve">    of which: from subsidiaries, associated, parent cies and cies under parent cies control</t>
  </si>
  <si>
    <t xml:space="preserve">    of which: from companies under parent companies control</t>
  </si>
  <si>
    <t xml:space="preserve">   C.16.b. From securities held as fixed assets</t>
  </si>
  <si>
    <t xml:space="preserve">   C.16.c. From securities held as current assets</t>
  </si>
  <si>
    <t xml:space="preserve">   C.16.b+c. From securities</t>
  </si>
  <si>
    <t xml:space="preserve">   C.16.d. Income other than the above</t>
  </si>
  <si>
    <t xml:space="preserve">  C.17. Total financial charges</t>
  </si>
  <si>
    <t xml:space="preserve">   of which: from financial receivables subs and assoc.</t>
  </si>
  <si>
    <t xml:space="preserve">  C.17.bis Profit and Loss on Foreign Exchange</t>
  </si>
  <si>
    <t xml:space="preserve"> D. TOTAL FINANCIAL ASSETS ADJUSTMENTS</t>
  </si>
  <si>
    <t xml:space="preserve">  D.18. Total Revaluations</t>
  </si>
  <si>
    <t xml:space="preserve">   D.18.a. Reval. of equity investments</t>
  </si>
  <si>
    <t xml:space="preserve">   D.18.b. Reval. of other financial assets</t>
  </si>
  <si>
    <t xml:space="preserve">   D.18.c. Reval. of securities</t>
  </si>
  <si>
    <t xml:space="preserve">   D.18.d. Reval. of derivatives</t>
  </si>
  <si>
    <t xml:space="preserve">   Reval. of financial instruments for cash pooling</t>
  </si>
  <si>
    <t xml:space="preserve">  D.19. Total Writedowns</t>
  </si>
  <si>
    <t xml:space="preserve">   D.19.a. Writedowns of equity invest.</t>
  </si>
  <si>
    <t xml:space="preserve">   D.19.b. Writedowns of other fin. Ass.</t>
  </si>
  <si>
    <t xml:space="preserve">   D.19.c. Writedowns of securities</t>
  </si>
  <si>
    <t xml:space="preserve">   D.19.d. Writedowns of derivatives</t>
  </si>
  <si>
    <t xml:space="preserve">   Writedowns of financial instruments for cash pooling</t>
  </si>
  <si>
    <t xml:space="preserve"> TOTAL EXTRAORDINARY REVENUES AND CHARGES</t>
  </si>
  <si>
    <t xml:space="preserve">  Extraordinary revenues</t>
  </si>
  <si>
    <t xml:space="preserve">   of which capital gains</t>
  </si>
  <si>
    <t xml:space="preserve">  Extraordinary charges</t>
  </si>
  <si>
    <t xml:space="preserve">   of which capital losses</t>
  </si>
  <si>
    <t xml:space="preserve">   of which taxes previous period</t>
  </si>
  <si>
    <t xml:space="preserve"> PROFIT/LOSS BEFORE TAXATION</t>
  </si>
  <si>
    <t xml:space="preserve">  20. Total current, deferred and prepaid income taxes</t>
  </si>
  <si>
    <t xml:space="preserve">   Current taxes</t>
  </si>
  <si>
    <t xml:space="preserve">   Taxation related to previous years</t>
  </si>
  <si>
    <t xml:space="preserve">   Prepaid and deferred taxes</t>
  </si>
  <si>
    <t xml:space="preserve">   deferred taxation (+/-)</t>
  </si>
  <si>
    <t xml:space="preserve">   advance taxation (+/-)</t>
  </si>
  <si>
    <t xml:space="preserve">   Income (expenses) for adherence to fiscal transparency regime</t>
  </si>
  <si>
    <t xml:space="preserve">  21. PROFIT (LOSS)</t>
  </si>
  <si>
    <t xml:space="preserve">  PROFIT (LOSS) THIRD PARTIES</t>
  </si>
  <si>
    <t xml:space="preserve">  PROFIT (LOSS) GROUP</t>
  </si>
  <si>
    <t xml:space="preserve">   Employees</t>
  </si>
  <si>
    <t>Ratios</t>
  </si>
  <si>
    <t xml:space="preserve">  1. Financial indicators</t>
  </si>
  <si>
    <t xml:space="preserve">   - Liquidity ratio</t>
  </si>
  <si>
    <t xml:space="preserve">   - Current ratio</t>
  </si>
  <si>
    <t xml:space="preserve">   - Current liabilities/Tot ass.</t>
  </si>
  <si>
    <t xml:space="preserve">   - Long/med term liab/Tot ass.</t>
  </si>
  <si>
    <t xml:space="preserve">   - Tang. fixed ass./Share funds</t>
  </si>
  <si>
    <t xml:space="preserve">   - Depr./Tang. fixed assets</t>
  </si>
  <si>
    <t xml:space="preserve">   - Leverage</t>
  </si>
  <si>
    <t xml:space="preserve">   - Coverage of fixed assets</t>
  </si>
  <si>
    <t xml:space="preserve">   - Banks/Turnover</t>
  </si>
  <si>
    <t xml:space="preserve">   - Cost of debit</t>
  </si>
  <si>
    <t xml:space="preserve">   - Interest/Operating profit</t>
  </si>
  <si>
    <t xml:space="preserve">   - Interest/Turnover</t>
  </si>
  <si>
    <t xml:space="preserve">   - Solvency ratio</t>
  </si>
  <si>
    <t xml:space="preserve">   - Share funds/Liabilities</t>
  </si>
  <si>
    <t xml:space="preserve">   - Net Financial Position</t>
  </si>
  <si>
    <t xml:space="preserve">   - Debt/Equity ratio</t>
  </si>
  <si>
    <t xml:space="preserve">   - Debt/EBITDA ratio</t>
  </si>
  <si>
    <t xml:space="preserve">  2. Management ratios</t>
  </si>
  <si>
    <t xml:space="preserve">   - Total assets turnover (times)</t>
  </si>
  <si>
    <t xml:space="preserve">   - Working cap. turnover (times)</t>
  </si>
  <si>
    <t xml:space="preserve">   - Incidenza circolante operativo</t>
  </si>
  <si>
    <t xml:space="preserve">   - Stocks/Turnover (days)</t>
  </si>
  <si>
    <t xml:space="preserve">   - Stocks/Cost goods sold (days)</t>
  </si>
  <si>
    <t xml:space="preserve">   - Durata media dei crediti al lordo IVA (days)</t>
  </si>
  <si>
    <t xml:space="preserve">   - Durata media dei debiti al lordo IVA (days)</t>
  </si>
  <si>
    <t xml:space="preserve">   - Durata Ciclo Commerciale (days)</t>
  </si>
  <si>
    <t xml:space="preserve">  3. Profitability ratios</t>
  </si>
  <si>
    <t xml:space="preserve">   - EBITDA</t>
  </si>
  <si>
    <t xml:space="preserve">   - EBITDA/Vendite</t>
  </si>
  <si>
    <t xml:space="preserve">   - Return on asset (ROA)</t>
  </si>
  <si>
    <t xml:space="preserve">   - Return on investment (ROI)</t>
  </si>
  <si>
    <t xml:space="preserve">   - Return on sales (ROS)</t>
  </si>
  <si>
    <t xml:space="preserve">   - Return on equity (ROE)</t>
  </si>
  <si>
    <t xml:space="preserve">   - Net P&amp;L / Operating P&amp;L</t>
  </si>
  <si>
    <t xml:space="preserve">  4. Productivity ratios</t>
  </si>
  <si>
    <t xml:space="preserve">   - Number of employees</t>
  </si>
  <si>
    <t xml:space="preserve">   - Turnover per employee</t>
  </si>
  <si>
    <t xml:space="preserve">   - Added value per employee</t>
  </si>
  <si>
    <t xml:space="preserve">   - Staff Costs per employee</t>
  </si>
  <si>
    <t xml:space="preserve">   - Turnover/Staff Costs</t>
  </si>
  <si>
    <t xml:space="preserve">  5. Significant data</t>
  </si>
  <si>
    <t xml:space="preserve">   - Net working capital</t>
  </si>
  <si>
    <t xml:space="preserve">   - Gross profit</t>
  </si>
  <si>
    <t xml:space="preserve">   - Net short term assets</t>
  </si>
  <si>
    <t xml:space="preserve">   - Share funds - Fixed assets</t>
  </si>
  <si>
    <t xml:space="preserve">   - Cash Flow</t>
  </si>
  <si>
    <t>€m</t>
  </si>
  <si>
    <t>Property, plant &amp; equipment</t>
  </si>
  <si>
    <t>Intangible assets</t>
  </si>
  <si>
    <t>Financial assets</t>
  </si>
  <si>
    <t>Inventory</t>
  </si>
  <si>
    <t>Receivables</t>
  </si>
  <si>
    <t>Payables</t>
  </si>
  <si>
    <t>Pre-payments</t>
  </si>
  <si>
    <t>Other assets</t>
  </si>
  <si>
    <t>Other liabilities</t>
  </si>
  <si>
    <t>Severance pay fund</t>
  </si>
  <si>
    <t>Other funds</t>
  </si>
  <si>
    <t>Other non current assets / (liabilities)</t>
  </si>
  <si>
    <t>Cash</t>
  </si>
  <si>
    <t>Bank debt (&lt;12 months)</t>
  </si>
  <si>
    <t>Bank debt (&gt;12 months)</t>
  </si>
  <si>
    <t>Other debt (&lt;12 months)</t>
  </si>
  <si>
    <t>Other debt(&gt;12 months)</t>
  </si>
  <si>
    <t>Equity (including shareholders' loan)</t>
  </si>
  <si>
    <t>Total sources</t>
  </si>
  <si>
    <t>Check</t>
  </si>
  <si>
    <t>Value of production</t>
  </si>
  <si>
    <t>Yoy growth (%)</t>
  </si>
  <si>
    <t>Raw materials</t>
  </si>
  <si>
    <t>First margin</t>
  </si>
  <si>
    <t>Margin (% Value of production)</t>
  </si>
  <si>
    <t>Personnel</t>
  </si>
  <si>
    <t>Services</t>
  </si>
  <si>
    <t>Other costs</t>
  </si>
  <si>
    <t>EBITDA</t>
  </si>
  <si>
    <t>Impairment losses on receivables</t>
  </si>
  <si>
    <t>EBITDA Adj</t>
  </si>
  <si>
    <t>D&amp;A</t>
  </si>
  <si>
    <t>EBIT</t>
  </si>
  <si>
    <t>Provisions</t>
  </si>
  <si>
    <t>Financial income</t>
  </si>
  <si>
    <t>Financial expenses</t>
  </si>
  <si>
    <t>Net income / (loss) on exchange rates</t>
  </si>
  <si>
    <t>Capital gains / (write downs)</t>
  </si>
  <si>
    <t>Extraordinary income / (costs)</t>
  </si>
  <si>
    <t>EBT</t>
  </si>
  <si>
    <t>Taxes</t>
  </si>
  <si>
    <t>Net Profit</t>
  </si>
  <si>
    <t>Delta inventory</t>
  </si>
  <si>
    <t>Delta receivables</t>
  </si>
  <si>
    <t>Delta payables</t>
  </si>
  <si>
    <t>Delta pre-payments</t>
  </si>
  <si>
    <t>Delta Net Working Capital</t>
  </si>
  <si>
    <t>Delta other current assets / liabilities</t>
  </si>
  <si>
    <t>Operating Cash Flow</t>
  </si>
  <si>
    <t>Net Capex (tangible assets)</t>
  </si>
  <si>
    <t>Delta other non current assets / liabilities</t>
  </si>
  <si>
    <t>Extraordinary Items</t>
  </si>
  <si>
    <t>Delta bank debt</t>
  </si>
  <si>
    <t>Delta other debt</t>
  </si>
  <si>
    <t>Net financial gain / (expense)</t>
  </si>
  <si>
    <t>Free Cash Flow to Equity</t>
  </si>
  <si>
    <t>Delta equity</t>
  </si>
  <si>
    <t>Delta Cash</t>
  </si>
  <si>
    <t>Cash at end of period</t>
  </si>
  <si>
    <t>Profitability Ratios</t>
  </si>
  <si>
    <t>Liquidity Ratios</t>
  </si>
  <si>
    <t>Financial Ratios</t>
  </si>
  <si>
    <t>Net Debt</t>
  </si>
  <si>
    <t>NetDebt/EBITDA</t>
  </si>
  <si>
    <t>Current Ratio</t>
  </si>
  <si>
    <t>Quick Ratio</t>
  </si>
  <si>
    <t>DPO</t>
  </si>
  <si>
    <t>DSO</t>
  </si>
  <si>
    <t>DIO</t>
  </si>
  <si>
    <t>Net Working Capital (days)</t>
  </si>
  <si>
    <t>Asset Turnover</t>
  </si>
  <si>
    <t>Intererest Coverage</t>
  </si>
  <si>
    <t>Debt to Equity</t>
  </si>
  <si>
    <t>Net Debt/EBITDA</t>
  </si>
  <si>
    <t>Cash Convershion Ratio</t>
  </si>
  <si>
    <t>Cash available for debt service (FCFF)</t>
  </si>
  <si>
    <t>Return On Investment</t>
  </si>
  <si>
    <t>Return On Total Assets</t>
  </si>
  <si>
    <t>Return On Sales</t>
  </si>
  <si>
    <t>Return On Equity</t>
  </si>
  <si>
    <t>Cost Of Debt</t>
  </si>
  <si>
    <t>Cash Flow (Indirect Method)</t>
  </si>
  <si>
    <t>Profit &amp; Loss</t>
  </si>
  <si>
    <t>Fixed assets</t>
  </si>
  <si>
    <t>Operating working capital</t>
  </si>
  <si>
    <t>Other current assets / (liabilities)</t>
  </si>
  <si>
    <t>Net working capital</t>
  </si>
  <si>
    <t>Total other non current</t>
  </si>
  <si>
    <t>Net invested capital</t>
  </si>
  <si>
    <t xml:space="preserve">Reclassified Balance Sheet </t>
  </si>
  <si>
    <t>12 months
Detailed
ICS</t>
  </si>
  <si>
    <t>12 months
Detailed
Origin. IFRS
ICS</t>
  </si>
  <si>
    <t>SYSTEM</t>
  </si>
  <si>
    <t>CHANGE IN REPORTING</t>
  </si>
  <si>
    <t>NEW ACCOUNTING</t>
  </si>
  <si>
    <t>RULES</t>
  </si>
  <si>
    <t>Reimbursement from vendors</t>
  </si>
  <si>
    <t>Logistic costs increase</t>
  </si>
  <si>
    <t>Financial non-fixed assets (mostly derivatives) and tax receivables</t>
  </si>
  <si>
    <t>Tax and other payables</t>
  </si>
  <si>
    <t>Accrued income and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</si>
</sst>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,##0"/>
    <numFmt numFmtId="165" formatCode="#,##0.0;\(#,##0.0\);\-;@"/>
    <numFmt numFmtId="166" formatCode="#,##0.0;\(#,##0.0\);\-"/>
    <numFmt numFmtId="167" formatCode="#,##0.0000000;\(#,##0.0000000\);\-"/>
    <numFmt numFmtId="168" formatCode="#,##0.00000000;\(#,##0.00000000\);\-"/>
    <numFmt numFmtId="169" formatCode="0.0%"/>
    <numFmt numFmtId="170" formatCode="#,##0;\(#,##0\);\-"/>
  </numFmts>
  <fonts count="24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8.5"/>
      <color rgb="FF333333"/>
      <name val="Verdana"/>
      <family val="2"/>
    </font>
    <font>
      <b/>
      <sz val="8.5"/>
      <color rgb="FF003366"/>
      <name val="Verdana"/>
      <family val="2"/>
    </font>
    <font>
      <sz val="8.5"/>
      <color rgb="FF003366"/>
      <name val="Verdana"/>
      <family val="2"/>
    </font>
    <font>
      <sz val="8.5"/>
      <color rgb="FF000000"/>
      <name val="Verdana"/>
      <family val="2"/>
    </font>
    <font>
      <b/>
      <sz val="8.5"/>
      <color rgb="FF333333"/>
      <name val="Verdana"/>
      <family val="2"/>
    </font>
    <font>
      <i/>
      <sz val="8.5"/>
      <color rgb="FF333333"/>
      <name val="Verdana"/>
      <family val="2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b/>
      <sz val="10"/>
      <color theme="0"/>
      <name val="Times New Roman"/>
      <family val="1"/>
    </font>
    <font>
      <sz val="10"/>
      <color rgb="FF000000"/>
      <name val="Times New Roman"/>
      <family val="1"/>
    </font>
    <font>
      <i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i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b/>
      <sz val="10"/>
      <color rgb="FFFFFFFF"/>
      <name val="Times New Roman"/>
      <family val="1"/>
    </font>
    <font>
      <sz val="10"/>
      <name val="Times New Roman"/>
      <family val="1"/>
    </font>
    <font>
      <sz val="8.5"/>
      <color rgb="FF333333"/>
      <name val="verdana"/>
    </font>
    <font>
      <i/>
      <sz val="8.5"/>
      <color rgb="FF333333"/>
      <name val="verdana"/>
    </font>
    <font>
      <sz val="8.5"/>
      <color rgb="FF000000"/>
      <name val="verdana"/>
    </font>
    <font>
      <b/>
      <sz val="11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2CBEA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D1D6DC"/>
      </patternFill>
    </fill>
    <fill>
      <patternFill patternType="solid">
        <fgColor rgb="FFE4ECF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4" tint="-0.499984740745262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858585"/>
      </top>
      <bottom style="thin">
        <color rgb="FF858585"/>
      </bottom>
      <diagonal/>
    </border>
    <border>
      <left/>
      <right/>
      <top style="thin">
        <color rgb="FF858585"/>
      </top>
      <bottom style="thin">
        <color rgb="FF858585"/>
      </bottom>
      <diagonal/>
    </border>
    <border>
      <left style="thin">
        <color rgb="FFFFFFFF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9" fillId="0" borderId="0"/>
    <xf numFmtId="0" fontId="9" fillId="0" borderId="0"/>
  </cellStyleXfs>
  <cellXfs count="11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4" borderId="4" xfId="0" applyFill="1" applyBorder="1"/>
    <xf numFmtId="0" fontId="4" fillId="4" borderId="5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right" vertical="top" wrapText="1"/>
    </xf>
    <xf numFmtId="0" fontId="0" fillId="5" borderId="4" xfId="0" applyFill="1" applyBorder="1"/>
    <xf numFmtId="0" fontId="0" fillId="5" borderId="5" xfId="0" applyFill="1" applyBorder="1"/>
    <xf numFmtId="0" fontId="2" fillId="5" borderId="5" xfId="0" applyFont="1" applyFill="1" applyBorder="1" applyAlignment="1">
      <alignment horizontal="right" vertical="top" wrapText="1"/>
    </xf>
    <xf numFmtId="0" fontId="0" fillId="6" borderId="4" xfId="0" applyFill="1" applyBorder="1"/>
    <xf numFmtId="0" fontId="6" fillId="6" borderId="5" xfId="0" applyFont="1" applyFill="1" applyBorder="1" applyAlignment="1">
      <alignment horizontal="left" vertical="top" wrapText="1"/>
    </xf>
    <xf numFmtId="0" fontId="0" fillId="6" borderId="5" xfId="0" applyFill="1" applyBorder="1"/>
    <xf numFmtId="0" fontId="0" fillId="2" borderId="4" xfId="0" applyFill="1" applyBorder="1"/>
    <xf numFmtId="0" fontId="5" fillId="2" borderId="5" xfId="0" applyFont="1" applyFill="1" applyBorder="1" applyAlignment="1">
      <alignment horizontal="left" vertical="top" wrapText="1"/>
    </xf>
    <xf numFmtId="0" fontId="0" fillId="2" borderId="5" xfId="0" applyFill="1" applyBorder="1"/>
    <xf numFmtId="0" fontId="7" fillId="2" borderId="5" xfId="0" applyFont="1" applyFill="1" applyBorder="1" applyAlignment="1">
      <alignment horizontal="left" vertical="top" wrapText="1"/>
    </xf>
    <xf numFmtId="0" fontId="0" fillId="7" borderId="4" xfId="0" applyFill="1" applyBorder="1"/>
    <xf numFmtId="0" fontId="6" fillId="7" borderId="5" xfId="0" applyFont="1" applyFill="1" applyBorder="1" applyAlignment="1">
      <alignment horizontal="left" vertical="top" wrapText="1"/>
    </xf>
    <xf numFmtId="0" fontId="0" fillId="7" borderId="5" xfId="0" applyFill="1" applyBorder="1"/>
    <xf numFmtId="0" fontId="3" fillId="3" borderId="2" xfId="0" applyFont="1" applyFill="1" applyBorder="1" applyAlignment="1">
      <alignment vertical="top"/>
    </xf>
    <xf numFmtId="0" fontId="4" fillId="4" borderId="5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0" fillId="12" borderId="4" xfId="0" applyFill="1" applyBorder="1"/>
    <xf numFmtId="0" fontId="5" fillId="12" borderId="5" xfId="0" applyFont="1" applyFill="1" applyBorder="1" applyAlignment="1">
      <alignment horizontal="left" vertical="top" wrapText="1"/>
    </xf>
    <xf numFmtId="0" fontId="0" fillId="12" borderId="0" xfId="0" applyFill="1"/>
    <xf numFmtId="0" fontId="10" fillId="11" borderId="0" xfId="5" applyFont="1" applyFill="1"/>
    <xf numFmtId="0" fontId="11" fillId="0" borderId="0" xfId="0" applyFont="1"/>
    <xf numFmtId="0" fontId="12" fillId="0" borderId="7" xfId="5" applyFont="1" applyBorder="1"/>
    <xf numFmtId="0" fontId="11" fillId="0" borderId="7" xfId="0" applyFont="1" applyBorder="1"/>
    <xf numFmtId="165" fontId="13" fillId="0" borderId="0" xfId="5" applyNumberFormat="1" applyFont="1"/>
    <xf numFmtId="166" fontId="11" fillId="0" borderId="0" xfId="0" applyNumberFormat="1" applyFont="1"/>
    <xf numFmtId="165" fontId="14" fillId="10" borderId="6" xfId="5" applyNumberFormat="1" applyFont="1" applyFill="1" applyBorder="1"/>
    <xf numFmtId="166" fontId="15" fillId="10" borderId="6" xfId="0" applyNumberFormat="1" applyFont="1" applyFill="1" applyBorder="1"/>
    <xf numFmtId="165" fontId="14" fillId="0" borderId="6" xfId="5" applyNumberFormat="1" applyFont="1" applyBorder="1"/>
    <xf numFmtId="166" fontId="15" fillId="0" borderId="6" xfId="0" applyNumberFormat="1" applyFont="1" applyBorder="1"/>
    <xf numFmtId="165" fontId="14" fillId="0" borderId="8" xfId="5" applyNumberFormat="1" applyFont="1" applyBorder="1"/>
    <xf numFmtId="165" fontId="14" fillId="8" borderId="6" xfId="5" applyNumberFormat="1" applyFont="1" applyFill="1" applyBorder="1"/>
    <xf numFmtId="166" fontId="11" fillId="8" borderId="6" xfId="0" applyNumberFormat="1" applyFont="1" applyFill="1" applyBorder="1"/>
    <xf numFmtId="165" fontId="16" fillId="9" borderId="0" xfId="4" applyNumberFormat="1" applyFont="1" applyFill="1" applyAlignment="1">
      <alignment horizontal="left" indent="1"/>
    </xf>
    <xf numFmtId="166" fontId="11" fillId="9" borderId="0" xfId="0" applyNumberFormat="1" applyFont="1" applyFill="1"/>
    <xf numFmtId="0" fontId="17" fillId="0" borderId="0" xfId="0" applyFont="1"/>
    <xf numFmtId="168" fontId="11" fillId="0" borderId="0" xfId="0" applyNumberFormat="1" applyFont="1"/>
    <xf numFmtId="167" fontId="11" fillId="0" borderId="0" xfId="0" applyNumberFormat="1" applyFont="1"/>
    <xf numFmtId="0" fontId="12" fillId="0" borderId="0" xfId="5" applyFont="1"/>
    <xf numFmtId="165" fontId="15" fillId="13" borderId="6" xfId="4" applyNumberFormat="1" applyFont="1" applyFill="1" applyBorder="1"/>
    <xf numFmtId="0" fontId="11" fillId="13" borderId="6" xfId="0" applyFont="1" applyFill="1" applyBorder="1"/>
    <xf numFmtId="166" fontId="15" fillId="13" borderId="6" xfId="0" applyNumberFormat="1" applyFont="1" applyFill="1" applyBorder="1"/>
    <xf numFmtId="165" fontId="17" fillId="14" borderId="0" xfId="4" applyNumberFormat="1" applyFont="1" applyFill="1" applyAlignment="1">
      <alignment horizontal="left" indent="1"/>
    </xf>
    <xf numFmtId="0" fontId="11" fillId="14" borderId="0" xfId="0" applyFont="1" applyFill="1"/>
    <xf numFmtId="169" fontId="11" fillId="14" borderId="0" xfId="0" applyNumberFormat="1" applyFont="1" applyFill="1"/>
    <xf numFmtId="165" fontId="11" fillId="0" borderId="0" xfId="4" applyNumberFormat="1" applyFont="1"/>
    <xf numFmtId="165" fontId="17" fillId="14" borderId="0" xfId="0" applyNumberFormat="1" applyFont="1" applyFill="1" applyAlignment="1">
      <alignment horizontal="left" indent="1"/>
    </xf>
    <xf numFmtId="165" fontId="11" fillId="0" borderId="0" xfId="0" applyNumberFormat="1" applyFont="1"/>
    <xf numFmtId="165" fontId="15" fillId="13" borderId="0" xfId="0" applyNumberFormat="1" applyFont="1" applyFill="1"/>
    <xf numFmtId="165" fontId="15" fillId="13" borderId="6" xfId="5" applyNumberFormat="1" applyFont="1" applyFill="1" applyBorder="1"/>
    <xf numFmtId="166" fontId="11" fillId="13" borderId="6" xfId="0" applyNumberFormat="1" applyFont="1" applyFill="1" applyBorder="1"/>
    <xf numFmtId="165" fontId="11" fillId="0" borderId="0" xfId="5" applyNumberFormat="1" applyFont="1"/>
    <xf numFmtId="165" fontId="17" fillId="0" borderId="0" xfId="3" applyNumberFormat="1" applyFont="1" applyAlignment="1">
      <alignment horizontal="left" indent="1"/>
    </xf>
    <xf numFmtId="165" fontId="15" fillId="0" borderId="8" xfId="5" quotePrefix="1" applyNumberFormat="1" applyFont="1" applyBorder="1"/>
    <xf numFmtId="0" fontId="11" fillId="0" borderId="8" xfId="0" applyFont="1" applyBorder="1"/>
    <xf numFmtId="165" fontId="15" fillId="0" borderId="8" xfId="0" applyNumberFormat="1" applyFont="1" applyBorder="1"/>
    <xf numFmtId="165" fontId="11" fillId="0" borderId="0" xfId="3" applyNumberFormat="1" applyFont="1"/>
    <xf numFmtId="0" fontId="11" fillId="0" borderId="0" xfId="5" applyFont="1"/>
    <xf numFmtId="165" fontId="15" fillId="13" borderId="6" xfId="0" applyNumberFormat="1" applyFont="1" applyFill="1" applyBorder="1"/>
    <xf numFmtId="165" fontId="15" fillId="0" borderId="0" xfId="5" applyNumberFormat="1" applyFont="1"/>
    <xf numFmtId="165" fontId="15" fillId="0" borderId="0" xfId="0" applyNumberFormat="1" applyFont="1"/>
    <xf numFmtId="165" fontId="17" fillId="0" borderId="0" xfId="0" applyNumberFormat="1" applyFont="1"/>
    <xf numFmtId="165" fontId="17" fillId="0" borderId="0" xfId="5" applyNumberFormat="1" applyFont="1"/>
    <xf numFmtId="0" fontId="18" fillId="0" borderId="0" xfId="5" applyFont="1"/>
    <xf numFmtId="0" fontId="0" fillId="2" borderId="3" xfId="0" applyFill="1" applyBorder="1"/>
    <xf numFmtId="0" fontId="4" fillId="4" borderId="5" xfId="0" applyFont="1" applyFill="1" applyBorder="1" applyAlignment="1">
      <alignment vertical="top"/>
    </xf>
    <xf numFmtId="0" fontId="6" fillId="6" borderId="5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left" vertical="top"/>
    </xf>
    <xf numFmtId="0" fontId="5" fillId="12" borderId="5" xfId="0" applyFont="1" applyFill="1" applyBorder="1" applyAlignment="1">
      <alignment horizontal="left" vertical="top"/>
    </xf>
    <xf numFmtId="0" fontId="6" fillId="7" borderId="5" xfId="0" applyFont="1" applyFill="1" applyBorder="1" applyAlignment="1">
      <alignment horizontal="left" vertical="top"/>
    </xf>
    <xf numFmtId="0" fontId="4" fillId="4" borderId="5" xfId="0" applyFont="1" applyFill="1" applyBorder="1" applyAlignment="1">
      <alignment horizontal="left" vertical="top"/>
    </xf>
    <xf numFmtId="170" fontId="19" fillId="0" borderId="0" xfId="0" applyNumberFormat="1" applyFont="1" applyAlignment="1">
      <alignment horizontal="center"/>
    </xf>
    <xf numFmtId="166" fontId="19" fillId="0" borderId="0" xfId="0" applyNumberFormat="1" applyFont="1" applyAlignment="1">
      <alignment horizontal="center"/>
    </xf>
    <xf numFmtId="0" fontId="11" fillId="9" borderId="0" xfId="0" applyFont="1" applyFill="1"/>
    <xf numFmtId="166" fontId="19" fillId="9" borderId="0" xfId="0" applyNumberFormat="1" applyFont="1" applyFill="1" applyAlignment="1">
      <alignment horizontal="center"/>
    </xf>
    <xf numFmtId="0" fontId="11" fillId="8" borderId="0" xfId="0" applyFont="1" applyFill="1"/>
    <xf numFmtId="166" fontId="19" fillId="8" borderId="0" xfId="0" applyNumberFormat="1" applyFont="1" applyFill="1" applyAlignment="1">
      <alignment horizontal="center"/>
    </xf>
    <xf numFmtId="170" fontId="19" fillId="8" borderId="0" xfId="0" applyNumberFormat="1" applyFont="1" applyFill="1" applyAlignment="1">
      <alignment horizontal="center"/>
    </xf>
    <xf numFmtId="170" fontId="19" fillId="9" borderId="0" xfId="0" applyNumberFormat="1" applyFont="1" applyFill="1" applyAlignment="1">
      <alignment horizontal="center"/>
    </xf>
    <xf numFmtId="0" fontId="18" fillId="15" borderId="0" xfId="5" applyFont="1" applyFill="1"/>
    <xf numFmtId="164" fontId="20" fillId="5" borderId="5" xfId="0" applyNumberFormat="1" applyFont="1" applyFill="1" applyBorder="1" applyAlignment="1">
      <alignment horizontal="right" vertical="top"/>
    </xf>
    <xf numFmtId="0" fontId="0" fillId="5" borderId="5" xfId="0" applyFill="1" applyBorder="1" applyAlignment="1">
      <alignment horizontal="right"/>
    </xf>
    <xf numFmtId="164" fontId="20" fillId="5" borderId="5" xfId="0" applyNumberFormat="1" applyFont="1" applyFill="1" applyBorder="1" applyAlignment="1">
      <alignment vertical="top"/>
    </xf>
    <xf numFmtId="0" fontId="20" fillId="5" borderId="5" xfId="0" applyFont="1" applyFill="1" applyBorder="1" applyAlignment="1">
      <alignment horizontal="right" vertical="top" wrapText="1"/>
    </xf>
    <xf numFmtId="164" fontId="21" fillId="5" borderId="5" xfId="0" applyNumberFormat="1" applyFont="1" applyFill="1" applyBorder="1" applyAlignment="1">
      <alignment horizontal="right" vertical="top"/>
    </xf>
    <xf numFmtId="164" fontId="21" fillId="5" borderId="5" xfId="0" applyNumberFormat="1" applyFont="1" applyFill="1" applyBorder="1" applyAlignment="1">
      <alignment vertical="top"/>
    </xf>
    <xf numFmtId="0" fontId="21" fillId="5" borderId="5" xfId="0" applyFont="1" applyFill="1" applyBorder="1" applyAlignment="1">
      <alignment horizontal="right" vertical="top" wrapText="1"/>
    </xf>
    <xf numFmtId="0" fontId="0" fillId="6" borderId="5" xfId="0" applyFill="1" applyBorder="1" applyAlignment="1">
      <alignment horizontal="right"/>
    </xf>
    <xf numFmtId="0" fontId="0" fillId="7" borderId="5" xfId="0" applyFill="1" applyBorder="1" applyAlignment="1">
      <alignment horizontal="right"/>
    </xf>
    <xf numFmtId="0" fontId="0" fillId="5" borderId="0" xfId="0" applyFill="1"/>
    <xf numFmtId="0" fontId="0" fillId="5" borderId="0" xfId="0" applyFill="1" applyAlignment="1">
      <alignment horizontal="right"/>
    </xf>
    <xf numFmtId="0" fontId="22" fillId="4" borderId="5" xfId="0" applyFont="1" applyFill="1" applyBorder="1" applyAlignment="1">
      <alignment horizontal="right" vertical="top" wrapText="1"/>
    </xf>
    <xf numFmtId="3" fontId="20" fillId="5" borderId="5" xfId="0" applyNumberFormat="1" applyFont="1" applyFill="1" applyBorder="1" applyAlignment="1">
      <alignment horizontal="right" vertical="top"/>
    </xf>
    <xf numFmtId="4" fontId="20" fillId="5" borderId="5" xfId="0" applyNumberFormat="1" applyFont="1" applyFill="1" applyBorder="1" applyAlignment="1">
      <alignment horizontal="right" vertical="top"/>
    </xf>
    <xf numFmtId="164" fontId="20" fillId="16" borderId="5" xfId="0" applyNumberFormat="1" applyFont="1" applyFill="1" applyBorder="1" applyAlignment="1">
      <alignment horizontal="right" vertical="top"/>
    </xf>
    <xf numFmtId="166" fontId="11" fillId="16" borderId="0" xfId="0" applyNumberFormat="1" applyFont="1" applyFill="1"/>
    <xf numFmtId="165" fontId="11" fillId="16" borderId="0" xfId="0" applyNumberFormat="1" applyFont="1" applyFill="1"/>
    <xf numFmtId="165" fontId="14" fillId="10" borderId="0" xfId="5" applyNumberFormat="1" applyFont="1" applyFill="1"/>
    <xf numFmtId="3" fontId="20" fillId="16" borderId="5" xfId="0" applyNumberFormat="1" applyFont="1" applyFill="1" applyBorder="1" applyAlignment="1">
      <alignment horizontal="right" vertical="top"/>
    </xf>
    <xf numFmtId="0" fontId="23" fillId="17" borderId="0" xfId="0" applyFont="1" applyFill="1"/>
    <xf numFmtId="164" fontId="20" fillId="18" borderId="5" xfId="0" applyNumberFormat="1" applyFont="1" applyFill="1" applyBorder="1" applyAlignment="1">
      <alignment horizontal="right" vertical="top"/>
    </xf>
    <xf numFmtId="0" fontId="23" fillId="12" borderId="0" xfId="0" applyFont="1" applyFill="1"/>
    <xf numFmtId="0" fontId="18" fillId="15" borderId="9" xfId="5" applyFont="1" applyFill="1" applyBorder="1"/>
    <xf numFmtId="0" fontId="0" fillId="0" borderId="9" xfId="0" applyBorder="1"/>
    <xf numFmtId="166" fontId="11" fillId="0" borderId="9" xfId="0" applyNumberFormat="1" applyFont="1" applyBorder="1"/>
    <xf numFmtId="0" fontId="0" fillId="8" borderId="9" xfId="0" applyFill="1" applyBorder="1"/>
    <xf numFmtId="166" fontId="11" fillId="8" borderId="9" xfId="0" applyNumberFormat="1" applyFont="1" applyFill="1" applyBorder="1"/>
  </cellXfs>
  <cellStyles count="8">
    <cellStyle name="Normal" xfId="0" builtinId="0"/>
    <cellStyle name="Normal 2" xfId="1" xr:uid="{D4405088-3E59-4EAB-9ABA-D59E79B6457C}"/>
    <cellStyle name="Normal 2 2" xfId="3" xr:uid="{0991DA92-2366-415B-9257-21B9E64D0BD0}"/>
    <cellStyle name="Normal 2 3" xfId="5" xr:uid="{4B6D7B87-6536-4D33-AED5-90B7EF0AEC67}"/>
    <cellStyle name="Normal 3" xfId="4" xr:uid="{1011DAB0-4388-4478-AE45-AA1B54DC030B}"/>
    <cellStyle name="Normal 4" xfId="7" xr:uid="{3579520C-BDFA-4260-AC6E-AD846ED594B6}"/>
    <cellStyle name="Normal 7" xfId="6" xr:uid="{C9786196-88D3-46A1-AE6F-D312618CD136}"/>
    <cellStyle name="Percent 2" xfId="2" xr:uid="{464826EA-694C-4D04-AC7C-376419EE1A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cap="all" spc="0" baseline="0">
                <a:gradFill>
                  <a:gsLst>
                    <a:gs pos="0">
                      <a:schemeClr val="dk1">
                        <a:lumMod val="50000"/>
                        <a:lumOff val="50000"/>
                      </a:schemeClr>
                    </a:gs>
                    <a:gs pos="100000">
                      <a:schemeClr val="dk1">
                        <a:lumMod val="85000"/>
                        <a:lumOff val="15000"/>
                      </a:schemeClr>
                    </a:gs>
                  </a:gsLst>
                  <a:lin ang="5400000" scaled="0"/>
                </a:gradFill>
                <a:latin typeface="+mn-lt"/>
                <a:ea typeface="+mn-ea"/>
                <a:cs typeface="+mn-cs"/>
              </a:defRPr>
            </a:pPr>
            <a:r>
              <a:rPr lang="en-US"/>
              <a:t>Net Working Capital (days)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Ratios!$A$14</c:f>
              <c:strCache>
                <c:ptCount val="1"/>
                <c:pt idx="0">
                  <c:v>DPO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Ratios!$E$1:$I$1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Ratios!$E$14:$I$14</c:f>
              <c:numCache>
                <c:formatCode>#,##0;\(#,##0\);\-</c:formatCode>
                <c:ptCount val="5"/>
                <c:pt idx="0">
                  <c:v>145.22999999999999</c:v>
                </c:pt>
                <c:pt idx="1">
                  <c:v>125.44</c:v>
                </c:pt>
                <c:pt idx="2">
                  <c:v>129.47999999999999</c:v>
                </c:pt>
                <c:pt idx="3">
                  <c:v>144.18</c:v>
                </c:pt>
                <c:pt idx="4">
                  <c:v>114.45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FE-4E72-BAF4-E182A5B57F6C}"/>
            </c:ext>
          </c:extLst>
        </c:ser>
        <c:ser>
          <c:idx val="1"/>
          <c:order val="1"/>
          <c:tx>
            <c:strRef>
              <c:f>Ratios!$A$15</c:f>
              <c:strCache>
                <c:ptCount val="1"/>
                <c:pt idx="0">
                  <c:v>DSO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Ratios!$E$1:$I$1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Ratios!$E$15:$I$15</c:f>
              <c:numCache>
                <c:formatCode>#,##0;\(#,##0\);\-</c:formatCode>
                <c:ptCount val="5"/>
                <c:pt idx="0">
                  <c:v>72.02</c:v>
                </c:pt>
                <c:pt idx="1">
                  <c:v>68.400000000000006</c:v>
                </c:pt>
                <c:pt idx="2">
                  <c:v>78.3</c:v>
                </c:pt>
                <c:pt idx="3">
                  <c:v>81.7</c:v>
                </c:pt>
                <c:pt idx="4">
                  <c:v>71.14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FE-4E72-BAF4-E182A5B57F6C}"/>
            </c:ext>
          </c:extLst>
        </c:ser>
        <c:ser>
          <c:idx val="2"/>
          <c:order val="2"/>
          <c:tx>
            <c:strRef>
              <c:f>Ratios!$A$16</c:f>
              <c:strCache>
                <c:ptCount val="1"/>
                <c:pt idx="0">
                  <c:v>DIO</c:v>
                </c:pt>
              </c:strCache>
            </c:strRef>
          </c:tx>
          <c:spPr>
            <a:ln w="19050" cap="rnd" cmpd="sng" algn="ctr">
              <a:solidFill>
                <a:schemeClr val="accent3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Ratios!$E$1:$I$1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Ratios!$E$16:$I$16</c:f>
              <c:numCache>
                <c:formatCode>#,##0;\(#,##0\);\-</c:formatCode>
                <c:ptCount val="5"/>
                <c:pt idx="0">
                  <c:v>147.9</c:v>
                </c:pt>
                <c:pt idx="1">
                  <c:v>106.36</c:v>
                </c:pt>
                <c:pt idx="2">
                  <c:v>146.94999999999999</c:v>
                </c:pt>
                <c:pt idx="3">
                  <c:v>212.67</c:v>
                </c:pt>
                <c:pt idx="4">
                  <c:v>163.88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FE-4E72-BAF4-E182A5B57F6C}"/>
            </c:ext>
          </c:extLst>
        </c:ser>
        <c:ser>
          <c:idx val="3"/>
          <c:order val="3"/>
          <c:tx>
            <c:strRef>
              <c:f>Ratios!$A$17</c:f>
              <c:strCache>
                <c:ptCount val="1"/>
                <c:pt idx="0">
                  <c:v>Net Working Capital (days)</c:v>
                </c:pt>
              </c:strCache>
            </c:strRef>
          </c:tx>
          <c:spPr>
            <a:ln w="19050" cap="rnd" cmpd="sng" algn="ctr">
              <a:solidFill>
                <a:schemeClr val="accent4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Ratios!$E$1:$I$1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Ratios!$E$17:$I$17</c:f>
              <c:numCache>
                <c:formatCode>#,##0;\(#,##0\);\-</c:formatCode>
                <c:ptCount val="5"/>
                <c:pt idx="0">
                  <c:v>74.690000000000026</c:v>
                </c:pt>
                <c:pt idx="1">
                  <c:v>49.319999999999993</c:v>
                </c:pt>
                <c:pt idx="2">
                  <c:v>95.77000000000001</c:v>
                </c:pt>
                <c:pt idx="3">
                  <c:v>150.19</c:v>
                </c:pt>
                <c:pt idx="4">
                  <c:v>120.56999999999998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FE-4E72-BAF4-E182A5B57F6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16521456"/>
        <c:axId val="1027422335"/>
      </c:lineChart>
      <c:catAx>
        <c:axId val="101652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422335"/>
        <c:crosses val="autoZero"/>
        <c:auto val="1"/>
        <c:lblAlgn val="ctr"/>
        <c:lblOffset val="100"/>
        <c:noMultiLvlLbl val="0"/>
      </c:catAx>
      <c:valAx>
        <c:axId val="1027422335"/>
        <c:scaling>
          <c:orientation val="minMax"/>
        </c:scaling>
        <c:delete val="1"/>
        <c:axPos val="l"/>
        <c:numFmt formatCode="#,##0;\(#,##0\);\-" sourceLinked="1"/>
        <c:majorTickMark val="none"/>
        <c:minorTickMark val="none"/>
        <c:tickLblPos val="nextTo"/>
        <c:crossAx val="1016521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414987</xdr:colOff>
      <xdr:row>34</xdr:row>
      <xdr:rowOff>128062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60AB3C2-7970-EFC2-D3F6-E667D98B69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91787" cy="63891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441818</xdr:colOff>
      <xdr:row>4</xdr:row>
      <xdr:rowOff>153294</xdr:rowOff>
    </xdr:from>
    <xdr:to>
      <xdr:col>18</xdr:col>
      <xdr:colOff>148466</xdr:colOff>
      <xdr:row>19</xdr:row>
      <xdr:rowOff>79241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D6E591C-E7F1-5727-8D18-71D17740EF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amza\Documents\MEM\THESIS\3.%20Analysis\CELLI%20SPA\Celli%20Financials.xlsx" TargetMode="External"/><Relationship Id="rId1" Type="http://schemas.openxmlformats.org/officeDocument/2006/relationships/externalLinkPath" Target="/Users/hamza/Documents/MEM/THESIS/3.%20Analysis/CELLI%20SPA/Celli%20Financia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lassified BS"/>
      <sheetName val="Profit&amp;Loss"/>
      <sheetName val="CashFlow"/>
      <sheetName val="Ratios"/>
      <sheetName val="Pool Bank Debt"/>
      <sheetName val="NetDebt"/>
      <sheetName val="AIDA"/>
    </sheetNames>
    <sheetDataSet>
      <sheetData sheetId="0">
        <row r="30">
          <cell r="A30" t="str">
            <v>Net Debt</v>
          </cell>
        </row>
      </sheetData>
      <sheetData sheetId="1">
        <row r="11">
          <cell r="A11" t="str">
            <v>EBITDA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HAMZA AIT MOUSSA" id="{D07C3EEF-24E6-4F1F-AF3D-01C5A14BE9D2}" userId="c7ec2fbc882efb55" providerId="Windows Live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1" dT="2024-02-27T18:26:50.79" personId="{D07C3EEF-24E6-4F1F-AF3D-01C5A14BE9D2}" id="{D1A8EF12-15DC-48CD-8155-6B8D075CB640}">
    <text>No info available on financial statements</text>
  </threadedComment>
  <threadedComment ref="F14" dT="2024-02-27T18:25:22.30" personId="{D07C3EEF-24E6-4F1F-AF3D-01C5A14BE9D2}" id="{74AE8F78-B7FF-41F7-A422-73A75107CC24}">
    <text>Cash outflow paid to pre-existing sharholders as a premium and recorded as goodwill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8CB9C-23C6-4773-ABBF-11ABFD89DC0D}">
  <dimension ref="A1"/>
  <sheetViews>
    <sheetView zoomScale="64" workbookViewId="0">
      <selection activeCell="M10" sqref="M10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9952E-28C3-4A1C-A692-A442C00BAA0C}">
  <dimension ref="A1:I4"/>
  <sheetViews>
    <sheetView workbookViewId="0">
      <selection activeCell="E11" sqref="E11"/>
    </sheetView>
  </sheetViews>
  <sheetFormatPr defaultRowHeight="14.5" x14ac:dyDescent="0.35"/>
  <sheetData>
    <row r="1" spans="1:9" x14ac:dyDescent="0.35">
      <c r="A1" s="109"/>
      <c r="B1" s="109"/>
      <c r="C1" s="109"/>
      <c r="D1" s="109">
        <v>2017</v>
      </c>
      <c r="E1" s="109">
        <v>2018</v>
      </c>
      <c r="F1" s="109">
        <v>2019</v>
      </c>
      <c r="G1" s="109">
        <v>2020</v>
      </c>
      <c r="H1" s="109">
        <v>2021</v>
      </c>
      <c r="I1" s="109">
        <v>2022</v>
      </c>
    </row>
    <row r="2" spans="1:9" x14ac:dyDescent="0.35">
      <c r="A2" s="110" t="str">
        <f>'[1]Reclassified BS'!A30</f>
        <v>Net Debt</v>
      </c>
      <c r="B2" s="110"/>
      <c r="C2" s="110"/>
      <c r="D2" s="111">
        <f>'Reclassified BS'!D26</f>
        <v>-16.34985</v>
      </c>
      <c r="E2" s="111">
        <f>'Reclassified BS'!E26</f>
        <v>-26.859059999999996</v>
      </c>
      <c r="F2" s="111">
        <f>'Reclassified BS'!F26</f>
        <v>-61.830202999999997</v>
      </c>
      <c r="G2" s="111">
        <f>'Reclassified BS'!G26</f>
        <v>-63.545763000000008</v>
      </c>
      <c r="H2" s="111">
        <f>'Reclassified BS'!H26</f>
        <v>-67.426000000000002</v>
      </c>
      <c r="I2" s="111">
        <f>'Reclassified BS'!I26</f>
        <v>-71.835999999999999</v>
      </c>
    </row>
    <row r="3" spans="1:9" x14ac:dyDescent="0.35">
      <c r="A3" s="110" t="str">
        <f>'[1]Profit&amp;Loss'!A11</f>
        <v>EBITDA</v>
      </c>
      <c r="B3" s="110"/>
      <c r="C3" s="110"/>
      <c r="D3" s="111">
        <f>'Profit&amp;Loss'!D11</f>
        <v>8.6581950000000063</v>
      </c>
      <c r="E3" s="111">
        <f>'Profit&amp;Loss'!E11</f>
        <v>8.7604990000000065</v>
      </c>
      <c r="F3" s="111">
        <f>'Profit&amp;Loss'!F11</f>
        <v>7.8441909999999915</v>
      </c>
      <c r="G3" s="111">
        <f>'Profit&amp;Loss'!G11</f>
        <v>10.285114</v>
      </c>
      <c r="H3" s="111">
        <f>'Profit&amp;Loss'!H11</f>
        <v>10.769000000000005</v>
      </c>
      <c r="I3" s="111">
        <f>'Profit&amp;Loss'!I11</f>
        <v>1.1749999999999972</v>
      </c>
    </row>
    <row r="4" spans="1:9" x14ac:dyDescent="0.35">
      <c r="A4" s="112" t="s">
        <v>376</v>
      </c>
      <c r="B4" s="112"/>
      <c r="C4" s="112"/>
      <c r="D4" s="113">
        <f t="shared" ref="D4:I4" si="0">-(D2/D3)</f>
        <v>1.8883670326205391</v>
      </c>
      <c r="E4" s="113">
        <f t="shared" si="0"/>
        <v>3.0659280938220501</v>
      </c>
      <c r="F4" s="113">
        <f t="shared" si="0"/>
        <v>7.8822918768806201</v>
      </c>
      <c r="G4" s="113">
        <f t="shared" si="0"/>
        <v>6.1784208711736213</v>
      </c>
      <c r="H4" s="113">
        <f t="shared" si="0"/>
        <v>6.2611198811403073</v>
      </c>
      <c r="I4" s="113">
        <f t="shared" si="0"/>
        <v>61.137021276595888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AE063-4B9B-4B99-B1DD-BF794A02CE53}">
  <dimension ref="A1:J31"/>
  <sheetViews>
    <sheetView showGridLines="0" tabSelected="1" zoomScale="79" zoomScaleNormal="90" workbookViewId="0">
      <selection activeCell="K5" sqref="K5"/>
    </sheetView>
  </sheetViews>
  <sheetFormatPr defaultRowHeight="13" x14ac:dyDescent="0.3"/>
  <cols>
    <col min="1" max="8" width="9.6328125" style="26" customWidth="1"/>
    <col min="9" max="16384" width="8.7265625" style="26"/>
  </cols>
  <sheetData>
    <row r="1" spans="1:10" ht="14.5" customHeight="1" x14ac:dyDescent="0.3">
      <c r="A1" s="25" t="s">
        <v>392</v>
      </c>
      <c r="B1" s="25"/>
      <c r="C1" s="25"/>
      <c r="D1" s="25">
        <v>2017</v>
      </c>
      <c r="E1" s="25">
        <v>2018</v>
      </c>
      <c r="F1" s="25">
        <v>2019</v>
      </c>
      <c r="G1" s="25">
        <v>2020</v>
      </c>
      <c r="H1" s="25">
        <v>2021</v>
      </c>
      <c r="I1" s="25">
        <v>2022</v>
      </c>
    </row>
    <row r="2" spans="1:10" ht="14.5" customHeight="1" x14ac:dyDescent="0.3">
      <c r="A2" s="27" t="s">
        <v>302</v>
      </c>
      <c r="B2" s="28"/>
      <c r="C2" s="28"/>
      <c r="D2" s="28"/>
      <c r="E2" s="28"/>
      <c r="F2" s="28"/>
      <c r="G2" s="28"/>
      <c r="H2" s="28"/>
      <c r="I2" s="28"/>
    </row>
    <row r="3" spans="1:10" ht="14.5" customHeight="1" x14ac:dyDescent="0.3">
      <c r="A3" s="29" t="s">
        <v>303</v>
      </c>
      <c r="B3" s="30"/>
      <c r="C3" s="30"/>
      <c r="D3" s="30">
        <f>(+AIDA!D21)/(10^6)</f>
        <v>24.818842</v>
      </c>
      <c r="E3" s="30">
        <f>(+AIDA!E21)/(10^6)</f>
        <v>37.005319999999998</v>
      </c>
      <c r="F3" s="30">
        <f>(+AIDA!F21)/(10^6)</f>
        <v>41.773172000000002</v>
      </c>
      <c r="G3" s="30">
        <f>(+AIDA!G21)/(10^6)</f>
        <v>38.870268000000003</v>
      </c>
      <c r="H3" s="30">
        <f>(+AIDA!H21)/(10^6)</f>
        <v>45.777000000000001</v>
      </c>
      <c r="I3" s="30">
        <f>(+AIDA!I21)/(10^6)</f>
        <v>44.76</v>
      </c>
    </row>
    <row r="4" spans="1:10" ht="14.5" customHeight="1" x14ac:dyDescent="0.3">
      <c r="A4" s="29" t="s">
        <v>304</v>
      </c>
      <c r="B4" s="30"/>
      <c r="C4" s="30"/>
      <c r="D4" s="30">
        <f>(+AIDA!D10)/(10^6)</f>
        <v>1.2033529999999999</v>
      </c>
      <c r="E4" s="30">
        <f>(+AIDA!E10)/(10^6)</f>
        <v>4.1079439999999998</v>
      </c>
      <c r="F4" s="102">
        <f>(+AIDA!F10)/(10^6)</f>
        <v>73.217169999999996</v>
      </c>
      <c r="G4" s="30">
        <f>(+AIDA!G10)/(10^6)</f>
        <v>67.161984000000004</v>
      </c>
      <c r="H4" s="30">
        <f>(+AIDA!H10)/(10^6)</f>
        <v>68.77</v>
      </c>
      <c r="I4" s="30">
        <f>(+AIDA!I10)/(10^6)</f>
        <v>69.100999999999999</v>
      </c>
    </row>
    <row r="5" spans="1:10" ht="14.5" customHeight="1" x14ac:dyDescent="0.3">
      <c r="A5" s="29" t="s">
        <v>305</v>
      </c>
      <c r="B5" s="30"/>
      <c r="C5" s="30"/>
      <c r="D5" s="30">
        <f>(+AIDA!D30)/(10^6)</f>
        <v>1.1613E-2</v>
      </c>
      <c r="E5" s="30">
        <f>(+AIDA!E30)/(10^6)</f>
        <v>1.1402000000000001E-2</v>
      </c>
      <c r="F5" s="30">
        <f>(+AIDA!F30)/(10^6)</f>
        <v>0.66359199999999996</v>
      </c>
      <c r="G5" s="30">
        <f>(+AIDA!G30)/(10^6)</f>
        <v>0.946685</v>
      </c>
      <c r="H5" s="30">
        <f>(+AIDA!H30)/(10^6)</f>
        <v>0.53</v>
      </c>
      <c r="I5" s="30">
        <f>(+AIDA!I30)/(10^6)</f>
        <v>0.53</v>
      </c>
    </row>
    <row r="6" spans="1:10" ht="14.5" customHeight="1" x14ac:dyDescent="0.3">
      <c r="A6" s="31" t="s">
        <v>386</v>
      </c>
      <c r="B6" s="32"/>
      <c r="C6" s="32"/>
      <c r="D6" s="32">
        <f>+D5+D4+D3</f>
        <v>26.033808000000001</v>
      </c>
      <c r="E6" s="32">
        <f t="shared" ref="E6" si="0">+E5+E4+E3</f>
        <v>41.124665999999998</v>
      </c>
      <c r="F6" s="32">
        <f>+F5+F4+F3</f>
        <v>115.65393399999999</v>
      </c>
      <c r="G6" s="32">
        <f>+G5+G4+G3</f>
        <v>106.978937</v>
      </c>
      <c r="H6" s="32">
        <f>+H5+H4+H3</f>
        <v>115.077</v>
      </c>
      <c r="I6" s="32">
        <f>+I5+I4+I3</f>
        <v>114.39099999999999</v>
      </c>
    </row>
    <row r="7" spans="1:10" ht="14.5" customHeight="1" x14ac:dyDescent="0.3">
      <c r="A7" s="29" t="s">
        <v>306</v>
      </c>
      <c r="B7" s="30"/>
      <c r="C7" s="30"/>
      <c r="D7" s="30">
        <f>(+AIDA!D57)/(10^6)</f>
        <v>8.5750869999999999</v>
      </c>
      <c r="E7" s="30">
        <f>(+AIDA!E57)/(10^6)</f>
        <v>9.8818590000000004</v>
      </c>
      <c r="F7" s="30">
        <f>(+AIDA!F57)/(10^6)</f>
        <v>7.3662470000000004</v>
      </c>
      <c r="G7" s="30">
        <f>(+AIDA!G57)/(10^6)</f>
        <v>10.275442</v>
      </c>
      <c r="H7" s="30">
        <f>(+AIDA!H57)/(10^6)</f>
        <v>14.824999999999999</v>
      </c>
      <c r="I7" s="30">
        <f>(+AIDA!I57)/(10^6)</f>
        <v>13.815</v>
      </c>
    </row>
    <row r="8" spans="1:10" ht="14.5" customHeight="1" x14ac:dyDescent="0.3">
      <c r="A8" s="29" t="s">
        <v>307</v>
      </c>
      <c r="B8" s="30"/>
      <c r="C8" s="30"/>
      <c r="D8" s="30">
        <f>(+AIDA!D66+AIDA!D67)/(10^6)</f>
        <v>11.636113</v>
      </c>
      <c r="E8" s="30">
        <f>(+AIDA!E66+AIDA!E67)/(10^6)</f>
        <v>11.845139</v>
      </c>
      <c r="F8" s="30">
        <f>(+AIDA!F66+AIDA!F67)/(10^6)</f>
        <v>11.553248999999999</v>
      </c>
      <c r="G8" s="30">
        <f>(+AIDA!G66+AIDA!G67)/(10^6)</f>
        <v>14.583247999999999</v>
      </c>
      <c r="H8" s="30">
        <f>(+AIDA!H66+AIDA!H67)/(10^6)</f>
        <v>15.772</v>
      </c>
      <c r="I8" s="30">
        <f>(+AIDA!I66+AIDA!I67)/(10^6)</f>
        <v>15.26</v>
      </c>
    </row>
    <row r="9" spans="1:10" ht="14.5" customHeight="1" x14ac:dyDescent="0.3">
      <c r="A9" s="29" t="s">
        <v>308</v>
      </c>
      <c r="B9" s="30"/>
      <c r="C9" s="30"/>
      <c r="D9" s="30">
        <f>(-AIDA!D161-AIDA!D162)/(10^6)</f>
        <v>-13.201318000000001</v>
      </c>
      <c r="E9" s="30">
        <f>(-AIDA!E161-AIDA!E162)/(10^6)</f>
        <v>-18.681861999999999</v>
      </c>
      <c r="F9" s="30">
        <f>(-AIDA!F161-AIDA!F162)/(10^6)</f>
        <v>-16.352094999999998</v>
      </c>
      <c r="G9" s="30">
        <f>(-AIDA!G161-AIDA!G162)/(10^6)</f>
        <v>-18.790813</v>
      </c>
      <c r="H9" s="30">
        <f>(-AIDA!H161-AIDA!H162)/(10^6)</f>
        <v>-20.626999999999999</v>
      </c>
      <c r="I9" s="30">
        <f>(-AIDA!I161-AIDA!I162)/(10^6)</f>
        <v>-22.428999999999998</v>
      </c>
    </row>
    <row r="10" spans="1:10" ht="14.5" customHeight="1" x14ac:dyDescent="0.3">
      <c r="A10" s="29" t="s">
        <v>309</v>
      </c>
      <c r="B10" s="30"/>
      <c r="C10" s="30"/>
      <c r="D10" s="30">
        <f>(-AIDA!D159-AIDA!D160)/(10^6)</f>
        <v>0</v>
      </c>
      <c r="E10" s="30">
        <f>(-AIDA!E159-AIDA!E160)/(10^6)</f>
        <v>0</v>
      </c>
      <c r="F10" s="30">
        <f>(-AIDA!F159-AIDA!F160)/(10^6)</f>
        <v>0</v>
      </c>
      <c r="G10" s="30">
        <f>(-AIDA!G159-AIDA!G160)/(10^6)</f>
        <v>0</v>
      </c>
      <c r="H10" s="30">
        <f>(-AIDA!H159-AIDA!H160)/(10^6)</f>
        <v>0</v>
      </c>
      <c r="I10" s="30">
        <f>(-AIDA!I159-AIDA!I160)/(10^6)</f>
        <v>0</v>
      </c>
    </row>
    <row r="11" spans="1:10" ht="14.5" customHeight="1" x14ac:dyDescent="0.3">
      <c r="A11" s="33" t="s">
        <v>387</v>
      </c>
      <c r="B11" s="34"/>
      <c r="C11" s="34"/>
      <c r="D11" s="34">
        <f t="shared" ref="D11" si="1">+D10+D9+D8+D7</f>
        <v>7.0098819999999993</v>
      </c>
      <c r="E11" s="34">
        <f>+E10+E9+E8+E7</f>
        <v>3.0451360000000012</v>
      </c>
      <c r="F11" s="34">
        <f>+F10+F9+F8+F7</f>
        <v>2.5674010000000012</v>
      </c>
      <c r="G11" s="34">
        <f>+G10+G9+G8+G7</f>
        <v>6.0678769999999993</v>
      </c>
      <c r="H11" s="34">
        <f>+H10+H9+H8+H7</f>
        <v>9.9700000000000006</v>
      </c>
      <c r="I11" s="34">
        <f>+I10+I9+I8+I7</f>
        <v>6.6460000000000008</v>
      </c>
    </row>
    <row r="12" spans="1:10" ht="14.5" customHeight="1" x14ac:dyDescent="0.3">
      <c r="A12" s="29" t="s">
        <v>310</v>
      </c>
      <c r="B12" s="30"/>
      <c r="C12" s="30"/>
      <c r="D12" s="30">
        <f>(+AIDA!D86+AIDA!D65-AIDA!D66-AIDA!D67)/(10^6)</f>
        <v>0.98294499999999996</v>
      </c>
      <c r="E12" s="30">
        <f>(+AIDA!E86+AIDA!E65-AIDA!E66-AIDA!E67)/(10^6)</f>
        <v>1.383087</v>
      </c>
      <c r="F12" s="30">
        <f>(+AIDA!F86+AIDA!F65-AIDA!F66-AIDA!F67)/(10^6)</f>
        <v>2.5559349999999998</v>
      </c>
      <c r="G12" s="30">
        <f>(+AIDA!G86+AIDA!G65-AIDA!G66-AIDA!G67)/(10^6)</f>
        <v>2.4460600000000001</v>
      </c>
      <c r="H12" s="30">
        <f>(+AIDA!H86+AIDA!H65-AIDA!H66-AIDA!H67)/(10^6)</f>
        <v>2.9590000000000001</v>
      </c>
      <c r="I12" s="30">
        <f>(+AIDA!I86+AIDA!I65-AIDA!I66-AIDA!I67)/(10^6)</f>
        <v>5.91</v>
      </c>
      <c r="J12" s="26" t="s">
        <v>401</v>
      </c>
    </row>
    <row r="13" spans="1:10" ht="14.5" customHeight="1" x14ac:dyDescent="0.3">
      <c r="A13" s="29" t="s">
        <v>311</v>
      </c>
      <c r="B13" s="30"/>
      <c r="C13" s="30"/>
      <c r="D13" s="30">
        <f>+(-AIDA!D148+SUM(AIDA!D149:D162))/(10^6)</f>
        <v>-3.2727110000000001</v>
      </c>
      <c r="E13" s="30">
        <f>+(-AIDA!E148+SUM(AIDA!E149:E162))/(10^6)</f>
        <v>-2.3302800000000001</v>
      </c>
      <c r="F13" s="30">
        <f>+(-AIDA!F148+SUM(AIDA!F149:F162))/(10^6)</f>
        <v>-2.1280410000000001</v>
      </c>
      <c r="G13" s="30">
        <f>+(-AIDA!G148+SUM(AIDA!G149:G162))/(10^6)</f>
        <v>-2.5574690000000002</v>
      </c>
      <c r="H13" s="30">
        <f>+(-AIDA!H148+SUM(AIDA!H149:H162))/(10^6)</f>
        <v>-2.6150000000000002</v>
      </c>
      <c r="I13" s="30">
        <f>+(-AIDA!I148+SUM(AIDA!I149:I162))/(10^6)</f>
        <v>-1.8460000000000001</v>
      </c>
      <c r="J13" s="26" t="s">
        <v>402</v>
      </c>
    </row>
    <row r="14" spans="1:10" ht="14.5" customHeight="1" x14ac:dyDescent="0.3">
      <c r="A14" s="35" t="s">
        <v>388</v>
      </c>
      <c r="B14" s="34"/>
      <c r="C14" s="34"/>
      <c r="D14" s="34">
        <f t="shared" ref="D14" si="2">+D13+D12</f>
        <v>-2.2897660000000002</v>
      </c>
      <c r="E14" s="34">
        <f>+E13+E12</f>
        <v>-0.94719300000000017</v>
      </c>
      <c r="F14" s="34">
        <f>+F13+F12</f>
        <v>0.42789399999999977</v>
      </c>
      <c r="G14" s="34">
        <f>+G13+G12</f>
        <v>-0.11140900000000009</v>
      </c>
      <c r="H14" s="34">
        <f>+H13+H12</f>
        <v>0.34399999999999986</v>
      </c>
      <c r="I14" s="34">
        <f>+I13+I12</f>
        <v>4.0640000000000001</v>
      </c>
    </row>
    <row r="15" spans="1:10" ht="14.5" customHeight="1" x14ac:dyDescent="0.3">
      <c r="A15" s="104" t="s">
        <v>389</v>
      </c>
      <c r="B15" s="32"/>
      <c r="C15" s="32"/>
      <c r="D15" s="32">
        <f t="shared" ref="D15" si="3">+D14+D11</f>
        <v>4.7201159999999991</v>
      </c>
      <c r="E15" s="32">
        <f>+E14+E11</f>
        <v>2.0979430000000008</v>
      </c>
      <c r="F15" s="32">
        <f>+F14+F11</f>
        <v>2.9952950000000009</v>
      </c>
      <c r="G15" s="32">
        <f>+G14+G11</f>
        <v>5.9564679999999992</v>
      </c>
      <c r="H15" s="32">
        <f>+H14+H11</f>
        <v>10.314</v>
      </c>
      <c r="I15" s="32">
        <f>+I14+I11</f>
        <v>10.71</v>
      </c>
    </row>
    <row r="16" spans="1:10" ht="14.5" customHeight="1" x14ac:dyDescent="0.3">
      <c r="A16" s="29" t="s">
        <v>312</v>
      </c>
      <c r="B16" s="30"/>
      <c r="C16" s="30"/>
      <c r="D16" s="30">
        <f>(-AIDA!D144)/(10^6)</f>
        <v>-0.80241799999999996</v>
      </c>
      <c r="E16" s="30">
        <f>(-AIDA!E144)/(10^6)</f>
        <v>-0.93587900000000002</v>
      </c>
      <c r="F16" s="30">
        <f>(-AIDA!F144)/(10^6)</f>
        <v>-0.99396200000000001</v>
      </c>
      <c r="G16" s="30">
        <f>(-AIDA!G144)/(10^6)</f>
        <v>-1.081245</v>
      </c>
      <c r="H16" s="30">
        <f>(-AIDA!H144)/(10^6)</f>
        <v>-1.518</v>
      </c>
      <c r="I16" s="30">
        <f>(-AIDA!I144)/(10^6)</f>
        <v>-1.367</v>
      </c>
    </row>
    <row r="17" spans="1:10" ht="14.5" customHeight="1" x14ac:dyDescent="0.3">
      <c r="A17" s="29" t="s">
        <v>313</v>
      </c>
      <c r="B17" s="30"/>
      <c r="C17" s="30"/>
      <c r="D17" s="30">
        <f>(-AIDA!D137)/(10^6)</f>
        <v>-0.57824600000000004</v>
      </c>
      <c r="E17" s="30">
        <f>(-AIDA!E137)/(10^6)</f>
        <v>-0.84619900000000003</v>
      </c>
      <c r="F17" s="30">
        <f>(-AIDA!F137)/(10^6)</f>
        <v>-3.4510900000000002</v>
      </c>
      <c r="G17" s="30">
        <f>(-AIDA!G137)/(10^6)</f>
        <v>-2.6255169999999999</v>
      </c>
      <c r="H17" s="30">
        <f>(-AIDA!H137)/(10^6)</f>
        <v>-3.1019999999999999</v>
      </c>
      <c r="I17" s="30">
        <f>(-AIDA!I137)/(10^6)</f>
        <v>-0.54800000000000004</v>
      </c>
    </row>
    <row r="18" spans="1:10" ht="14.5" customHeight="1" x14ac:dyDescent="0.3">
      <c r="A18" s="29" t="s">
        <v>314</v>
      </c>
      <c r="B18" s="30"/>
      <c r="C18" s="30"/>
      <c r="D18" s="30">
        <f>+(AIDA!D103-AIDA!D185)/10^6</f>
        <v>-2.9728189999999999</v>
      </c>
      <c r="E18" s="30">
        <f>+(AIDA!E103-AIDA!E185)/10^6</f>
        <v>-2.9291719999999999</v>
      </c>
      <c r="F18" s="30">
        <f>+(AIDA!F103-AIDA!F185)/10^6</f>
        <v>-3.4289930000000002</v>
      </c>
      <c r="G18" s="30">
        <f>+(AIDA!G103-AIDA!G185)/10^6</f>
        <v>-6.2524050000000004</v>
      </c>
      <c r="H18" s="30">
        <f>+(AIDA!H103-AIDA!H185)/10^6</f>
        <v>-7.2690000000000001</v>
      </c>
      <c r="I18" s="30">
        <f>+(AIDA!I103-AIDA!I185)/10^6</f>
        <v>-3.7610000000000001</v>
      </c>
      <c r="J18" s="26" t="s">
        <v>403</v>
      </c>
    </row>
    <row r="19" spans="1:10" ht="14.5" customHeight="1" x14ac:dyDescent="0.3">
      <c r="A19" s="31" t="s">
        <v>390</v>
      </c>
      <c r="B19" s="32"/>
      <c r="C19" s="32"/>
      <c r="D19" s="32">
        <f t="shared" ref="D19" si="4">+D18+D17+D16</f>
        <v>-4.3534829999999998</v>
      </c>
      <c r="E19" s="32">
        <f>+E18+E17+E16</f>
        <v>-4.7112499999999997</v>
      </c>
      <c r="F19" s="32">
        <f>+F18+F17+F16</f>
        <v>-7.8740450000000006</v>
      </c>
      <c r="G19" s="32">
        <f>+G18+G17+G16</f>
        <v>-9.9591670000000008</v>
      </c>
      <c r="H19" s="32">
        <f>+H18+H17+H16</f>
        <v>-11.889000000000001</v>
      </c>
      <c r="I19" s="32">
        <f>+I18+I17+I16</f>
        <v>-5.6760000000000002</v>
      </c>
    </row>
    <row r="20" spans="1:10" ht="14.5" customHeight="1" x14ac:dyDescent="0.3">
      <c r="A20" s="36" t="s">
        <v>391</v>
      </c>
      <c r="B20" s="37"/>
      <c r="C20" s="37"/>
      <c r="D20" s="37">
        <f t="shared" ref="D20" si="5">+D19+D15+D6</f>
        <v>26.400441000000001</v>
      </c>
      <c r="E20" s="37">
        <f>+E19+E15+E6</f>
        <v>38.511358999999999</v>
      </c>
      <c r="F20" s="37">
        <f>+F19+F15+F6</f>
        <v>110.775184</v>
      </c>
      <c r="G20" s="37">
        <f>+G19+G15+G6</f>
        <v>102.976238</v>
      </c>
      <c r="H20" s="37">
        <f>+H19+H15+H6</f>
        <v>113.502</v>
      </c>
      <c r="I20" s="37">
        <f>+I19+I15+I6</f>
        <v>119.425</v>
      </c>
    </row>
    <row r="21" spans="1:10" ht="14.5" customHeight="1" x14ac:dyDescent="0.3">
      <c r="A21" s="29" t="s">
        <v>315</v>
      </c>
      <c r="B21" s="30"/>
      <c r="C21" s="30"/>
      <c r="D21" s="30">
        <f>+AIDA!D98/10^6</f>
        <v>5.6477620000000002</v>
      </c>
      <c r="E21" s="30">
        <f>+AIDA!E98/10^6</f>
        <v>5.0968749999999998</v>
      </c>
      <c r="F21" s="30">
        <f>+AIDA!F98/10^6</f>
        <v>1.1495660000000001</v>
      </c>
      <c r="G21" s="30">
        <f>+AIDA!G98/10^6</f>
        <v>2.4487290000000002</v>
      </c>
      <c r="H21" s="30">
        <f>+AIDA!H98/10^6</f>
        <v>2.863</v>
      </c>
      <c r="I21" s="30">
        <f>+AIDA!I98/10^6</f>
        <v>3.306</v>
      </c>
    </row>
    <row r="22" spans="1:10" ht="14.5" customHeight="1" x14ac:dyDescent="0.3">
      <c r="A22" s="29" t="s">
        <v>316</v>
      </c>
      <c r="B22" s="30"/>
      <c r="C22" s="30"/>
      <c r="D22" s="30">
        <f>-(AIDA!D155-AIDA!D151-AIDA!D149)/10^6</f>
        <v>-6.7619990000000003</v>
      </c>
      <c r="E22" s="30">
        <f>-(AIDA!E155-AIDA!E151-AIDA!E149)/10^6</f>
        <v>-6.9796969999999998</v>
      </c>
      <c r="F22" s="30">
        <f>-(AIDA!F155-AIDA!F151-AIDA!F149)/10^6</f>
        <v>-3.39297</v>
      </c>
      <c r="G22" s="30">
        <f>-(AIDA!G155-AIDA!G151-AIDA!G149)/10^6</f>
        <v>-7.1611140000000004</v>
      </c>
      <c r="H22" s="30">
        <f>-(AIDA!H155-AIDA!H151-AIDA!H149)/10^6</f>
        <v>-7.2640000000000002</v>
      </c>
      <c r="I22" s="102">
        <f>-(AIDA!I155-AIDA!I151-AIDA!I149)/10^6</f>
        <v>-71.787999999999997</v>
      </c>
    </row>
    <row r="23" spans="1:10" ht="14.5" customHeight="1" x14ac:dyDescent="0.3">
      <c r="A23" s="29" t="s">
        <v>317</v>
      </c>
      <c r="B23" s="30"/>
      <c r="C23" s="30"/>
      <c r="D23" s="30">
        <f>+(-AIDA!D156-AIDA!D150-AIDA!D154)/10^6</f>
        <v>-15.235613000000001</v>
      </c>
      <c r="E23" s="30">
        <f>+(-AIDA!E156-AIDA!E150-AIDA!E154)/10^6</f>
        <v>-24.976237999999999</v>
      </c>
      <c r="F23" s="102">
        <f>+(-AIDA!F156-AIDA!F150-AIDA!F154)/10^6</f>
        <v>-59.586798999999999</v>
      </c>
      <c r="G23" s="30">
        <f>+(-AIDA!G156-AIDA!G150-AIDA!G154)/10^6</f>
        <v>-58.833378000000003</v>
      </c>
      <c r="H23" s="30">
        <f>+(-AIDA!H156-AIDA!H150-AIDA!H154)/10^6</f>
        <v>-59.079000000000001</v>
      </c>
      <c r="I23" s="30">
        <f>+(-AIDA!I156-AIDA!I150-AIDA!I154)/10^6</f>
        <v>0</v>
      </c>
    </row>
    <row r="24" spans="1:10" ht="14.5" customHeight="1" x14ac:dyDescent="0.3">
      <c r="A24" s="29" t="s">
        <v>318</v>
      </c>
      <c r="B24" s="30"/>
      <c r="C24" s="30"/>
      <c r="D24" s="30">
        <f>+(-AIDA!D157)/10^6</f>
        <v>0</v>
      </c>
      <c r="E24" s="30">
        <f>+(-AIDA!E157)/10^6</f>
        <v>0</v>
      </c>
      <c r="F24" s="30">
        <f>+(-AIDA!F157)/10^6</f>
        <v>0</v>
      </c>
      <c r="G24" s="30">
        <f>+(-AIDA!G157)/10^6</f>
        <v>0</v>
      </c>
      <c r="H24" s="30">
        <f>+(-AIDA!H157)/10^6</f>
        <v>-0.874</v>
      </c>
      <c r="I24" s="30">
        <f>+(-AIDA!I157)/10^6</f>
        <v>-0.97399999999999998</v>
      </c>
    </row>
    <row r="25" spans="1:10" ht="14.5" customHeight="1" x14ac:dyDescent="0.3">
      <c r="A25" s="29" t="s">
        <v>319</v>
      </c>
      <c r="B25" s="30"/>
      <c r="C25" s="30"/>
      <c r="D25" s="30">
        <f>+(-AIDA!D158)/10^6</f>
        <v>0</v>
      </c>
      <c r="E25" s="30">
        <f>+(-AIDA!E158)/10^6</f>
        <v>0</v>
      </c>
      <c r="F25" s="30">
        <f>+(-AIDA!F158)/10^6</f>
        <v>0</v>
      </c>
      <c r="G25" s="30">
        <f>+(-AIDA!G158)/10^6</f>
        <v>0</v>
      </c>
      <c r="H25" s="30">
        <f>+(-AIDA!H158)/10^6</f>
        <v>-3.0720000000000001</v>
      </c>
      <c r="I25" s="30">
        <f>+(-AIDA!I158)/10^6</f>
        <v>-2.38</v>
      </c>
    </row>
    <row r="26" spans="1:10" ht="14.5" customHeight="1" x14ac:dyDescent="0.3">
      <c r="A26" s="36" t="s">
        <v>365</v>
      </c>
      <c r="B26" s="37"/>
      <c r="C26" s="37"/>
      <c r="D26" s="37">
        <f t="shared" ref="D26" si="6">+D25+D24+D23+D22+D21</f>
        <v>-16.34985</v>
      </c>
      <c r="E26" s="37">
        <f>+E25+E24+E23+E22+E21</f>
        <v>-26.859059999999996</v>
      </c>
      <c r="F26" s="37">
        <f>+F25+F24+F23+F22+F21</f>
        <v>-61.830202999999997</v>
      </c>
      <c r="G26" s="37">
        <f>+G25+G24+G23+G22+G21</f>
        <v>-63.545763000000008</v>
      </c>
      <c r="H26" s="37">
        <f>+H25+H24+H23+H22+H21</f>
        <v>-67.426000000000002</v>
      </c>
      <c r="I26" s="37">
        <f>+I25+I24+I23+I22+I21</f>
        <v>-71.835999999999999</v>
      </c>
    </row>
    <row r="27" spans="1:10" ht="14.5" customHeight="1" x14ac:dyDescent="0.3">
      <c r="A27" s="38" t="s">
        <v>366</v>
      </c>
      <c r="B27" s="39"/>
      <c r="C27" s="39"/>
      <c r="D27" s="39">
        <f>-D26/'Profit&amp;Loss'!D11</f>
        <v>1.8883670326205391</v>
      </c>
      <c r="E27" s="39">
        <f>-E26/'Profit&amp;Loss'!E11</f>
        <v>3.0659280938220501</v>
      </c>
      <c r="F27" s="39">
        <f>-F26/'Profit&amp;Loss'!F11</f>
        <v>7.8822918768806201</v>
      </c>
      <c r="G27" s="39">
        <f>-G26/'Profit&amp;Loss'!G11</f>
        <v>6.1784208711736213</v>
      </c>
      <c r="H27" s="39">
        <f>-H26/'Profit&amp;Loss'!H11</f>
        <v>6.2611198811403073</v>
      </c>
      <c r="I27" s="102">
        <f>-I26/'Profit&amp;Loss'!I11</f>
        <v>61.137021276595888</v>
      </c>
    </row>
    <row r="28" spans="1:10" ht="14.5" customHeight="1" x14ac:dyDescent="0.3">
      <c r="A28" s="29" t="s">
        <v>320</v>
      </c>
      <c r="B28" s="30"/>
      <c r="C28" s="30"/>
      <c r="D28" s="30">
        <f>+(-AIDA!D112-AIDA!D153-AIDA!D154)/10^6</f>
        <v>-10.050591000000001</v>
      </c>
      <c r="E28" s="30">
        <f>+(-AIDA!E112-AIDA!E153-AIDA!E154)/10^6</f>
        <v>-11.652298999999999</v>
      </c>
      <c r="F28" s="102">
        <f>+(-AIDA!F112-AIDA!F153-AIDA!F154)/10^6</f>
        <v>-48.944980999999999</v>
      </c>
      <c r="G28" s="30">
        <f>+(-AIDA!G112-AIDA!G153-AIDA!G154)/10^6</f>
        <v>-39.430475000000001</v>
      </c>
      <c r="H28" s="30">
        <f>+(-AIDA!H112-AIDA!H153-AIDA!H154)/10^6</f>
        <v>-46.076000000000001</v>
      </c>
      <c r="I28" s="30">
        <f>+(-AIDA!I112-AIDA!I153-AIDA!I154)/10^6</f>
        <v>-47.588999999999999</v>
      </c>
    </row>
    <row r="29" spans="1:10" ht="14.5" customHeight="1" x14ac:dyDescent="0.3">
      <c r="A29" s="36" t="s">
        <v>321</v>
      </c>
      <c r="B29" s="37"/>
      <c r="C29" s="37"/>
      <c r="D29" s="37">
        <f t="shared" ref="D29" si="7">+D28+D26</f>
        <v>-26.400441000000001</v>
      </c>
      <c r="E29" s="37">
        <f>+E28+E26</f>
        <v>-38.511358999999999</v>
      </c>
      <c r="F29" s="37">
        <f>+F28+F26</f>
        <v>-110.775184</v>
      </c>
      <c r="G29" s="37">
        <f>+G28+G26</f>
        <v>-102.97623800000001</v>
      </c>
      <c r="H29" s="37">
        <f>+H28+H26</f>
        <v>-113.50200000000001</v>
      </c>
      <c r="I29" s="37">
        <f>+I28+I26</f>
        <v>-119.425</v>
      </c>
    </row>
    <row r="31" spans="1:10" x14ac:dyDescent="0.3">
      <c r="A31" s="40" t="s">
        <v>322</v>
      </c>
      <c r="D31" s="30">
        <f t="shared" ref="D31" si="8">+D29+D20</f>
        <v>0</v>
      </c>
      <c r="E31" s="41">
        <f>+E29+E20</f>
        <v>0</v>
      </c>
      <c r="F31" s="30">
        <f>+F29+F20</f>
        <v>0</v>
      </c>
      <c r="G31" s="30">
        <f>+G29+G20</f>
        <v>0</v>
      </c>
      <c r="H31" s="30">
        <f>+H29+H20</f>
        <v>0</v>
      </c>
      <c r="I31" s="42">
        <f>+I29+I20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9DC86-F239-4E1D-8888-C294A92B1982}">
  <dimension ref="A1:J29"/>
  <sheetViews>
    <sheetView showGridLines="0" zoomScale="76" zoomScaleNormal="90" workbookViewId="0">
      <selection activeCell="Q14" sqref="Q14"/>
    </sheetView>
  </sheetViews>
  <sheetFormatPr defaultRowHeight="14.5" customHeight="1" x14ac:dyDescent="0.3"/>
  <cols>
    <col min="1" max="9" width="9.6328125" style="26" customWidth="1"/>
    <col min="10" max="16384" width="8.7265625" style="26"/>
  </cols>
  <sheetData>
    <row r="1" spans="1:10" ht="14.5" customHeight="1" x14ac:dyDescent="0.3">
      <c r="A1" s="86" t="s">
        <v>385</v>
      </c>
      <c r="B1" s="86"/>
      <c r="C1" s="86"/>
      <c r="D1" s="86">
        <v>2017</v>
      </c>
      <c r="E1" s="86">
        <v>2018</v>
      </c>
      <c r="F1" s="86">
        <v>2019</v>
      </c>
      <c r="G1" s="86">
        <v>2020</v>
      </c>
      <c r="H1" s="86">
        <v>2021</v>
      </c>
      <c r="I1" s="86">
        <v>2022</v>
      </c>
    </row>
    <row r="2" spans="1:10" ht="14.5" customHeight="1" x14ac:dyDescent="0.3">
      <c r="A2" s="43" t="s">
        <v>302</v>
      </c>
    </row>
    <row r="3" spans="1:10" ht="14.5" customHeight="1" x14ac:dyDescent="0.3">
      <c r="A3" s="44" t="s">
        <v>323</v>
      </c>
      <c r="B3" s="45"/>
      <c r="C3" s="45"/>
      <c r="D3" s="46">
        <f>+AIDA!D198/10^6</f>
        <v>55.500255000000003</v>
      </c>
      <c r="E3" s="46">
        <f>+AIDA!E198/10^6</f>
        <v>60.705711000000001</v>
      </c>
      <c r="F3" s="46">
        <f>+AIDA!F198/10^6</f>
        <v>62.528486999999998</v>
      </c>
      <c r="G3" s="46">
        <f>+AIDA!G198/10^6</f>
        <v>69.292840999999996</v>
      </c>
      <c r="H3" s="46">
        <f>+AIDA!H198/10^6</f>
        <v>70.459000000000003</v>
      </c>
      <c r="I3" s="46">
        <f>+AIDA!I198/10^6</f>
        <v>78.290999999999997</v>
      </c>
    </row>
    <row r="4" spans="1:10" ht="14.5" customHeight="1" x14ac:dyDescent="0.3">
      <c r="A4" s="47" t="s">
        <v>324</v>
      </c>
      <c r="B4" s="48"/>
      <c r="C4" s="48"/>
      <c r="D4" s="49" t="str">
        <f>IFERROR(+D3/#REF!-1,"")</f>
        <v/>
      </c>
      <c r="E4" s="49">
        <f t="shared" ref="E4:I4" si="0">IFERROR(+E3/D3-1,"")</f>
        <v>9.3791569065763802E-2</v>
      </c>
      <c r="F4" s="49">
        <f t="shared" si="0"/>
        <v>3.0026433592055257E-2</v>
      </c>
      <c r="G4" s="49">
        <f t="shared" si="0"/>
        <v>0.10818035625905997</v>
      </c>
      <c r="H4" s="49">
        <f t="shared" si="0"/>
        <v>1.6829429753068004E-2</v>
      </c>
      <c r="I4" s="49">
        <f t="shared" si="0"/>
        <v>0.11115684298670137</v>
      </c>
    </row>
    <row r="5" spans="1:10" ht="14.5" customHeight="1" x14ac:dyDescent="0.3">
      <c r="A5" s="50" t="s">
        <v>325</v>
      </c>
      <c r="D5" s="30">
        <f>-(+AIDA!D208/10^6+AIDA!D224/10^6)</f>
        <v>-22.033849</v>
      </c>
      <c r="E5" s="30">
        <f>-(+AIDA!E208/10^6+AIDA!E224/10^6)</f>
        <v>-24.387252999999998</v>
      </c>
      <c r="F5" s="30">
        <f>-(+AIDA!F208/10^6+AIDA!F224/10^6)</f>
        <v>-25.278862</v>
      </c>
      <c r="G5" s="30">
        <f>-(+AIDA!G208/10^6+AIDA!G224/10^6)</f>
        <v>-25.522404999999999</v>
      </c>
      <c r="H5" s="30">
        <f>-(+AIDA!H208/10^6+AIDA!H224/10^6)</f>
        <v>-25.443999999999999</v>
      </c>
      <c r="I5" s="30">
        <f>-(+AIDA!I208/10^6+AIDA!I224/10^6)</f>
        <v>-30.77</v>
      </c>
    </row>
    <row r="6" spans="1:10" ht="14.5" customHeight="1" x14ac:dyDescent="0.3">
      <c r="A6" s="44" t="s">
        <v>326</v>
      </c>
      <c r="B6" s="45"/>
      <c r="C6" s="45"/>
      <c r="D6" s="46">
        <f t="shared" ref="D6" si="1">+D5+D3</f>
        <v>33.466406000000006</v>
      </c>
      <c r="E6" s="46">
        <f>+E5+E3</f>
        <v>36.318458000000007</v>
      </c>
      <c r="F6" s="46">
        <f>+F5+F3</f>
        <v>37.249624999999995</v>
      </c>
      <c r="G6" s="46">
        <f>+G5+G3</f>
        <v>43.770435999999997</v>
      </c>
      <c r="H6" s="46">
        <f>+H5+H3</f>
        <v>45.015000000000001</v>
      </c>
      <c r="I6" s="46">
        <f>+I5+I3</f>
        <v>47.521000000000001</v>
      </c>
    </row>
    <row r="7" spans="1:10" ht="14.5" customHeight="1" x14ac:dyDescent="0.3">
      <c r="A7" s="51" t="s">
        <v>327</v>
      </c>
      <c r="B7" s="48"/>
      <c r="C7" s="48"/>
      <c r="D7" s="49">
        <f>+D6/D$3</f>
        <v>0.60299553578627707</v>
      </c>
      <c r="E7" s="49">
        <f t="shared" ref="E7:I7" si="2">+E6/E$3</f>
        <v>0.59827086120447559</v>
      </c>
      <c r="F7" s="49">
        <f t="shared" si="2"/>
        <v>0.59572247446191995</v>
      </c>
      <c r="G7" s="49">
        <f t="shared" si="2"/>
        <v>0.63167327776328297</v>
      </c>
      <c r="H7" s="49">
        <f t="shared" si="2"/>
        <v>0.63888218680367304</v>
      </c>
      <c r="I7" s="49">
        <f t="shared" si="2"/>
        <v>0.6069790908278091</v>
      </c>
    </row>
    <row r="8" spans="1:10" ht="14.5" customHeight="1" x14ac:dyDescent="0.3">
      <c r="A8" s="50" t="s">
        <v>328</v>
      </c>
      <c r="D8" s="30">
        <f>-AIDA!D211/10^6</f>
        <v>-4.0198980000000004</v>
      </c>
      <c r="E8" s="30">
        <f>-AIDA!E211/10^6</f>
        <v>-4.8484080000000001</v>
      </c>
      <c r="F8" s="30">
        <f>-AIDA!F211/10^6</f>
        <v>-5.9939210000000003</v>
      </c>
      <c r="G8" s="30">
        <f>-AIDA!G211/10^6</f>
        <v>-6.7718759999999998</v>
      </c>
      <c r="H8" s="30">
        <f>-AIDA!H211/10^6</f>
        <v>-7.1829999999999998</v>
      </c>
      <c r="I8" s="30">
        <f>-AIDA!I211/10^6</f>
        <v>-5.5880000000000001</v>
      </c>
    </row>
    <row r="9" spans="1:10" ht="14.5" customHeight="1" x14ac:dyDescent="0.3">
      <c r="A9" s="50" t="s">
        <v>329</v>
      </c>
      <c r="D9" s="30">
        <f>-AIDA!D209/10^6-AIDA!D210/10^6</f>
        <v>-19.900656999999999</v>
      </c>
      <c r="E9" s="30">
        <f>-AIDA!E209/10^6-AIDA!E210/10^6</f>
        <v>-21.682271</v>
      </c>
      <c r="F9" s="30">
        <f>-AIDA!F209/10^6-AIDA!F210/10^6</f>
        <v>-22.245747000000001</v>
      </c>
      <c r="G9" s="30">
        <f>-AIDA!G209/10^6-AIDA!G210/10^6</f>
        <v>-25.528587999999999</v>
      </c>
      <c r="H9" s="30">
        <f>-AIDA!H209/10^6-AIDA!H210/10^6</f>
        <v>-26.773</v>
      </c>
      <c r="I9" s="102">
        <f>-AIDA!I209/10^6-AIDA!I210/10^6</f>
        <v>-40.758000000000003</v>
      </c>
      <c r="J9" s="26" t="s">
        <v>400</v>
      </c>
    </row>
    <row r="10" spans="1:10" ht="14.5" customHeight="1" x14ac:dyDescent="0.3">
      <c r="A10" s="50" t="s">
        <v>330</v>
      </c>
      <c r="D10" s="30">
        <f>-AIDA!D227/10^6</f>
        <v>-0.887656</v>
      </c>
      <c r="E10" s="30">
        <f>-AIDA!E227/10^6</f>
        <v>-1.02728</v>
      </c>
      <c r="F10" s="30">
        <f>-AIDA!F227/10^6</f>
        <v>-1.1657660000000001</v>
      </c>
      <c r="G10" s="30">
        <f>-AIDA!G227/10^6</f>
        <v>-1.184858</v>
      </c>
      <c r="H10" s="30">
        <f>-AIDA!H227/10^6</f>
        <v>-0.28999999999999998</v>
      </c>
      <c r="I10" s="30">
        <f>-AIDA!I227/10^6</f>
        <v>0</v>
      </c>
    </row>
    <row r="11" spans="1:10" ht="14.5" customHeight="1" x14ac:dyDescent="0.3">
      <c r="A11" s="44" t="s">
        <v>331</v>
      </c>
      <c r="B11" s="45"/>
      <c r="C11" s="45"/>
      <c r="D11" s="46">
        <f t="shared" ref="D11" si="3">+D10+D9+D8+D6</f>
        <v>8.6581950000000063</v>
      </c>
      <c r="E11" s="46">
        <f>+E10+E9+E8+E6</f>
        <v>8.7604990000000065</v>
      </c>
      <c r="F11" s="46">
        <f>+F10+F9+F8+F6</f>
        <v>7.8441909999999915</v>
      </c>
      <c r="G11" s="46">
        <f>+G10+G9+G8+G6</f>
        <v>10.285114</v>
      </c>
      <c r="H11" s="46">
        <f>+H10+H9+H8+H6</f>
        <v>10.769000000000005</v>
      </c>
      <c r="I11" s="46">
        <f>+I10+I9+I8+I6</f>
        <v>1.1749999999999972</v>
      </c>
    </row>
    <row r="12" spans="1:10" ht="14.5" customHeight="1" x14ac:dyDescent="0.3">
      <c r="A12" s="51" t="s">
        <v>327</v>
      </c>
      <c r="B12" s="48"/>
      <c r="C12" s="48"/>
      <c r="D12" s="49">
        <f>+D11/D$3</f>
        <v>0.15600279674390696</v>
      </c>
      <c r="E12" s="49">
        <f t="shared" ref="E12:I12" si="4">+E11/E$3</f>
        <v>0.1443109528854708</v>
      </c>
      <c r="F12" s="49">
        <f t="shared" si="4"/>
        <v>0.12544987694968521</v>
      </c>
      <c r="G12" s="49">
        <f t="shared" si="4"/>
        <v>0.14842967688393668</v>
      </c>
      <c r="H12" s="49">
        <f t="shared" si="4"/>
        <v>0.15284065910671463</v>
      </c>
      <c r="I12" s="49">
        <f t="shared" si="4"/>
        <v>1.5008110766243849E-2</v>
      </c>
    </row>
    <row r="13" spans="1:10" ht="14.5" customHeight="1" x14ac:dyDescent="0.3">
      <c r="A13" s="50" t="s">
        <v>332</v>
      </c>
      <c r="D13" s="30">
        <f>+-AIDA!D223/10^6</f>
        <v>-6.0544000000000001E-2</v>
      </c>
      <c r="E13" s="30">
        <f>+-AIDA!E223/10^6</f>
        <v>-5.9707000000000003E-2</v>
      </c>
      <c r="F13" s="30">
        <f>+-AIDA!F223/10^6</f>
        <v>-9.8442000000000002E-2</v>
      </c>
      <c r="G13" s="30">
        <f>+-AIDA!G223/10^6</f>
        <v>-7.3467000000000005E-2</v>
      </c>
      <c r="H13" s="30">
        <f>+-AIDA!H223/10^6</f>
        <v>-0.08</v>
      </c>
      <c r="I13" s="30">
        <f>+-AIDA!I223/10^6</f>
        <v>-0.29499999999999998</v>
      </c>
    </row>
    <row r="14" spans="1:10" ht="14.5" customHeight="1" x14ac:dyDescent="0.3">
      <c r="A14" s="44" t="s">
        <v>333</v>
      </c>
      <c r="B14" s="45"/>
      <c r="C14" s="45"/>
      <c r="D14" s="46">
        <f t="shared" ref="D14" si="5">+D13+D11</f>
        <v>8.5976510000000061</v>
      </c>
      <c r="E14" s="46">
        <f>+E13+E11</f>
        <v>8.700792000000007</v>
      </c>
      <c r="F14" s="46">
        <f>+F13+F11</f>
        <v>7.7457489999999911</v>
      </c>
      <c r="G14" s="46">
        <f>+G13+G11</f>
        <v>10.211646999999999</v>
      </c>
      <c r="H14" s="46">
        <f>+H13+H11</f>
        <v>10.689000000000005</v>
      </c>
      <c r="I14" s="46">
        <f>+I13+I11</f>
        <v>0.87999999999999723</v>
      </c>
    </row>
    <row r="15" spans="1:10" ht="14.5" customHeight="1" x14ac:dyDescent="0.3">
      <c r="A15" s="51" t="s">
        <v>327</v>
      </c>
      <c r="B15" s="48"/>
      <c r="C15" s="48"/>
      <c r="D15" s="49">
        <f>+D14/D$3</f>
        <v>0.15491191887316563</v>
      </c>
      <c r="E15" s="49">
        <f t="shared" ref="E15:I15" si="6">+E14/E$3</f>
        <v>0.14332740456659845</v>
      </c>
      <c r="F15" s="49">
        <f t="shared" si="6"/>
        <v>0.12387552252783586</v>
      </c>
      <c r="G15" s="49">
        <f t="shared" si="6"/>
        <v>0.14736943748633427</v>
      </c>
      <c r="H15" s="49">
        <f t="shared" si="6"/>
        <v>0.15170524702309152</v>
      </c>
      <c r="I15" s="49">
        <f t="shared" si="6"/>
        <v>1.1240116999399641E-2</v>
      </c>
    </row>
    <row r="16" spans="1:10" ht="14.5" customHeight="1" x14ac:dyDescent="0.3">
      <c r="A16" s="50" t="s">
        <v>334</v>
      </c>
      <c r="D16" s="30">
        <f>(-AIDA!D218+AIDA!D223)/10^6</f>
        <v>-1.8632200000000001</v>
      </c>
      <c r="E16" s="30">
        <f>(-AIDA!E218+AIDA!E223)/10^6</f>
        <v>-2.7560509999999998</v>
      </c>
      <c r="F16" s="102">
        <f>(-AIDA!F218+AIDA!F223)/10^6</f>
        <v>-7.5129650000000003</v>
      </c>
      <c r="G16" s="30">
        <f>(-AIDA!G218+AIDA!G223)/10^6</f>
        <v>-14.115695000000001</v>
      </c>
      <c r="H16" s="30">
        <f>(-AIDA!H218+AIDA!H223)/10^6</f>
        <v>-6.05</v>
      </c>
      <c r="I16" s="30">
        <f>(-AIDA!I218+AIDA!I223)/10^6</f>
        <v>-7.5350000000000001</v>
      </c>
    </row>
    <row r="17" spans="1:10" ht="14.5" customHeight="1" x14ac:dyDescent="0.3">
      <c r="A17" s="44" t="s">
        <v>335</v>
      </c>
      <c r="B17" s="45"/>
      <c r="C17" s="45"/>
      <c r="D17" s="46">
        <f t="shared" ref="D17" si="7">+D16+D14</f>
        <v>6.7344310000000061</v>
      </c>
      <c r="E17" s="46">
        <f>+E16+E14</f>
        <v>5.9447410000000076</v>
      </c>
      <c r="F17" s="46">
        <f>+F16+F14</f>
        <v>0.23278399999999078</v>
      </c>
      <c r="G17" s="46">
        <f>+G16+G14</f>
        <v>-3.9040480000000013</v>
      </c>
      <c r="H17" s="46">
        <f>+H16+H14</f>
        <v>4.6390000000000056</v>
      </c>
      <c r="I17" s="46">
        <f>+I16+I14</f>
        <v>-6.6550000000000029</v>
      </c>
    </row>
    <row r="18" spans="1:10" ht="14.5" customHeight="1" x14ac:dyDescent="0.3">
      <c r="A18" s="51" t="s">
        <v>327</v>
      </c>
      <c r="B18" s="48"/>
      <c r="C18" s="48"/>
      <c r="D18" s="49">
        <f>+D17/D$3</f>
        <v>0.12134054158850271</v>
      </c>
      <c r="E18" s="49">
        <f t="shared" ref="E18:I18" si="8">+E17/E$3</f>
        <v>9.7927211494154273E-2</v>
      </c>
      <c r="F18" s="49">
        <f t="shared" si="8"/>
        <v>3.7228471560489026E-3</v>
      </c>
      <c r="G18" s="49">
        <f t="shared" si="8"/>
        <v>-5.6341289282683643E-2</v>
      </c>
      <c r="H18" s="49">
        <f t="shared" si="8"/>
        <v>6.5839708199094585E-2</v>
      </c>
      <c r="I18" s="49">
        <f t="shared" si="8"/>
        <v>-8.5003384807960089E-2</v>
      </c>
    </row>
    <row r="19" spans="1:10" ht="14.5" customHeight="1" x14ac:dyDescent="0.3">
      <c r="A19" s="52" t="s">
        <v>336</v>
      </c>
      <c r="B19" s="52"/>
      <c r="C19" s="52"/>
      <c r="D19" s="52">
        <f>+(-AIDA!D225-AIDA!D226)/10^6</f>
        <v>0</v>
      </c>
      <c r="E19" s="52">
        <f>+(-AIDA!E225-AIDA!E226)/10^6</f>
        <v>0</v>
      </c>
      <c r="F19" s="103">
        <f>+(-AIDA!F225-AIDA!F226)/10^6</f>
        <v>-5.820989</v>
      </c>
      <c r="G19" s="52">
        <f>+(-AIDA!G225-AIDA!G226)/10^6</f>
        <v>-0.46</v>
      </c>
      <c r="H19" s="52">
        <f>+(-AIDA!H225-AIDA!H226)/10^6</f>
        <v>0</v>
      </c>
      <c r="I19" s="52">
        <f>+(-AIDA!I225-AIDA!I226)/10^6</f>
        <v>0</v>
      </c>
    </row>
    <row r="20" spans="1:10" ht="14.5" customHeight="1" x14ac:dyDescent="0.3">
      <c r="A20" s="26" t="s">
        <v>337</v>
      </c>
      <c r="D20" s="52">
        <f>+(AIDA!D233+AIDA!D237)/10^6</f>
        <v>1.8578999999999998E-2</v>
      </c>
      <c r="E20" s="52">
        <f>+(AIDA!E233+AIDA!E237)/10^6</f>
        <v>3.1753999999999998E-2</v>
      </c>
      <c r="F20" s="52">
        <f>+(AIDA!F233+AIDA!F237)/10^6</f>
        <v>2.9694000000000002E-2</v>
      </c>
      <c r="G20" s="52">
        <f>+(AIDA!G233+AIDA!G237)/10^6</f>
        <v>3.5629000000000001E-2</v>
      </c>
      <c r="H20" s="52">
        <f>+(AIDA!H233+AIDA!H237)/10^6</f>
        <v>0</v>
      </c>
      <c r="I20" s="52">
        <f>+(AIDA!I233+AIDA!I237)/10^6</f>
        <v>0</v>
      </c>
    </row>
    <row r="21" spans="1:10" ht="14.5" customHeight="1" x14ac:dyDescent="0.3">
      <c r="A21" s="26" t="s">
        <v>338</v>
      </c>
      <c r="D21" s="52">
        <f>-AIDA!D247/10^6</f>
        <v>-0.53731799999999996</v>
      </c>
      <c r="E21" s="52">
        <f>-AIDA!E247/10^6</f>
        <v>-0.67617000000000005</v>
      </c>
      <c r="F21" s="103">
        <f>-AIDA!F247/10^6</f>
        <v>-2.8357220000000001</v>
      </c>
      <c r="G21" s="52">
        <f>-AIDA!G247/10^6</f>
        <v>-4.515936</v>
      </c>
      <c r="H21" s="52">
        <f>-AIDA!H247/10^6</f>
        <v>-3.7679999999999998</v>
      </c>
      <c r="I21" s="52">
        <f>-AIDA!I247/10^6</f>
        <v>-2.2850000000000001</v>
      </c>
    </row>
    <row r="22" spans="1:10" ht="14.5" customHeight="1" x14ac:dyDescent="0.3">
      <c r="A22" s="26" t="s">
        <v>339</v>
      </c>
      <c r="D22" s="52">
        <f>+AIDA!D250/10^6</f>
        <v>-0.91915000000000002</v>
      </c>
      <c r="E22" s="52">
        <f>+AIDA!E250/10^6</f>
        <v>6.3238000000000003E-2</v>
      </c>
      <c r="F22" s="52">
        <f>+AIDA!F250/10^6</f>
        <v>-0.144065</v>
      </c>
      <c r="G22" s="52">
        <f>+AIDA!G250/10^6</f>
        <v>-0.81232199999999999</v>
      </c>
      <c r="H22" s="52">
        <f>+AIDA!H250/10^6</f>
        <v>0</v>
      </c>
      <c r="I22" s="52">
        <f>+AIDA!I250/10^6</f>
        <v>0</v>
      </c>
    </row>
    <row r="23" spans="1:10" ht="14.5" customHeight="1" x14ac:dyDescent="0.3">
      <c r="A23" s="26" t="s">
        <v>340</v>
      </c>
      <c r="D23" s="52">
        <f>+AIDA!D252/10^6</f>
        <v>0</v>
      </c>
      <c r="E23" s="52">
        <f>+AIDA!E252/10^6</f>
        <v>0</v>
      </c>
      <c r="F23" s="52">
        <f>+AIDA!F252/10^6</f>
        <v>-0.31798999999999999</v>
      </c>
      <c r="G23" s="52">
        <f>+AIDA!G252/10^6</f>
        <v>1.7290000000000001E-3</v>
      </c>
      <c r="H23" s="52">
        <f>+AIDA!H252/10^6</f>
        <v>0</v>
      </c>
      <c r="I23" s="52">
        <f>+AIDA!I252/10^6</f>
        <v>0</v>
      </c>
    </row>
    <row r="24" spans="1:10" ht="14.5" customHeight="1" x14ac:dyDescent="0.3">
      <c r="A24" s="26" t="s">
        <v>341</v>
      </c>
      <c r="D24" s="52">
        <f>+AIDA!D266/10^6</f>
        <v>0</v>
      </c>
      <c r="E24" s="52">
        <f>+AIDA!E266/10^6</f>
        <v>0</v>
      </c>
      <c r="F24" s="52">
        <f>+AIDA!F266/10^6</f>
        <v>0</v>
      </c>
      <c r="G24" s="52">
        <f>+AIDA!G266/10^6</f>
        <v>0</v>
      </c>
      <c r="H24" s="52">
        <f>+AIDA!H266/10^6</f>
        <v>0</v>
      </c>
      <c r="I24" s="52">
        <f>+AIDA!I266/10^6</f>
        <v>1.516</v>
      </c>
      <c r="J24" s="26" t="s">
        <v>399</v>
      </c>
    </row>
    <row r="25" spans="1:10" ht="14.5" customHeight="1" x14ac:dyDescent="0.3">
      <c r="A25" s="53" t="s">
        <v>342</v>
      </c>
      <c r="B25" s="53"/>
      <c r="C25" s="53"/>
      <c r="D25" s="53">
        <f t="shared" ref="D25" si="9">+D24+D23+D22+D21+D20+D19+D17</f>
        <v>5.2965420000000059</v>
      </c>
      <c r="E25" s="53">
        <f>+E24+E23+E22+E21+E20+E19+E17</f>
        <v>5.3635630000000072</v>
      </c>
      <c r="F25" s="53">
        <f>+F24+F23+F22+F21+F20+F19+F17</f>
        <v>-8.8562880000000099</v>
      </c>
      <c r="G25" s="53">
        <f>+G24+G23+G22+G21+G20+G19+G17</f>
        <v>-9.654948000000001</v>
      </c>
      <c r="H25" s="53">
        <f>+H24+H23+H22+H21+H20+H19+H17</f>
        <v>0.87100000000000577</v>
      </c>
      <c r="I25" s="53">
        <f>+I24+I23+I22+I21+I20+I19+I17</f>
        <v>-7.424000000000003</v>
      </c>
    </row>
    <row r="26" spans="1:10" ht="14.5" customHeight="1" x14ac:dyDescent="0.3">
      <c r="A26" s="51" t="s">
        <v>327</v>
      </c>
      <c r="B26" s="51"/>
      <c r="C26" s="51"/>
      <c r="D26" s="49">
        <f>+D25/D$3</f>
        <v>9.5432750714388712E-2</v>
      </c>
      <c r="E26" s="49">
        <f t="shared" ref="E26:I26" si="10">+E25/E$3</f>
        <v>8.835351586607737E-2</v>
      </c>
      <c r="F26" s="49">
        <f t="shared" si="10"/>
        <v>-0.14163605142085095</v>
      </c>
      <c r="G26" s="49">
        <f t="shared" si="10"/>
        <v>-0.13933543293455095</v>
      </c>
      <c r="H26" s="49">
        <f t="shared" si="10"/>
        <v>1.2361799060446581E-2</v>
      </c>
      <c r="I26" s="49">
        <f t="shared" si="10"/>
        <v>-9.482571432220821E-2</v>
      </c>
    </row>
    <row r="27" spans="1:10" ht="14.5" customHeight="1" x14ac:dyDescent="0.3">
      <c r="A27" s="26" t="s">
        <v>343</v>
      </c>
      <c r="D27" s="52">
        <f>-AIDA!D274/10^6</f>
        <v>-1.6160300000000001</v>
      </c>
      <c r="E27" s="52">
        <f>-AIDA!E274/10^6</f>
        <v>-1.567196</v>
      </c>
      <c r="F27" s="52">
        <f>-AIDA!F274/10^6</f>
        <v>1.139389</v>
      </c>
      <c r="G27" s="52">
        <f>-AIDA!G274/10^6</f>
        <v>6.9690000000000002E-2</v>
      </c>
      <c r="H27" s="52">
        <f>-AIDA!H274/10^6</f>
        <v>-0.47099999999999997</v>
      </c>
      <c r="I27" s="52">
        <f>-AIDA!I274/10^6</f>
        <v>0</v>
      </c>
    </row>
    <row r="28" spans="1:10" ht="14.5" customHeight="1" x14ac:dyDescent="0.3">
      <c r="A28" s="53" t="s">
        <v>344</v>
      </c>
      <c r="B28" s="53"/>
      <c r="C28" s="53"/>
      <c r="D28" s="53">
        <f t="shared" ref="D28" si="11">+D27+D25</f>
        <v>3.6805120000000056</v>
      </c>
      <c r="E28" s="53">
        <f>+E27+E25</f>
        <v>3.7963670000000072</v>
      </c>
      <c r="F28" s="53">
        <f>+F27+F25</f>
        <v>-7.7168990000000104</v>
      </c>
      <c r="G28" s="53">
        <f>+G27+G25</f>
        <v>-9.5852580000000014</v>
      </c>
      <c r="H28" s="53">
        <f>+H27+H25</f>
        <v>0.4000000000000058</v>
      </c>
      <c r="I28" s="53">
        <f>+I27+I25</f>
        <v>-7.424000000000003</v>
      </c>
    </row>
    <row r="29" spans="1:10" ht="14.5" customHeight="1" x14ac:dyDescent="0.3">
      <c r="A29" s="51" t="s">
        <v>327</v>
      </c>
      <c r="B29" s="51"/>
      <c r="C29" s="51"/>
      <c r="D29" s="49">
        <f>+D28/D$3</f>
        <v>6.6315226839948851E-2</v>
      </c>
      <c r="E29" s="49">
        <f t="shared" ref="E29:I29" si="12">+E28/E$3</f>
        <v>6.2537229816812576E-2</v>
      </c>
      <c r="F29" s="49">
        <f t="shared" si="12"/>
        <v>-0.12341413282557134</v>
      </c>
      <c r="G29" s="49">
        <f t="shared" si="12"/>
        <v>-0.13832970133234979</v>
      </c>
      <c r="H29" s="49">
        <f t="shared" si="12"/>
        <v>5.6770604181155815E-3</v>
      </c>
      <c r="I29" s="49">
        <f t="shared" si="12"/>
        <v>-9.482571432220821E-2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B2E0E-D72D-4E7F-9863-7756BD492F26}">
  <dimension ref="A1:I26"/>
  <sheetViews>
    <sheetView showGridLines="0" zoomScale="90" zoomScaleNormal="90" workbookViewId="0">
      <selection activeCell="J7" sqref="J7"/>
    </sheetView>
  </sheetViews>
  <sheetFormatPr defaultRowHeight="14.5" x14ac:dyDescent="0.35"/>
  <cols>
    <col min="1" max="9" width="9.6328125" customWidth="1"/>
  </cols>
  <sheetData>
    <row r="1" spans="1:9" ht="14.5" customHeight="1" x14ac:dyDescent="0.35">
      <c r="A1" s="86" t="s">
        <v>384</v>
      </c>
      <c r="B1" s="86"/>
      <c r="C1" s="86"/>
      <c r="D1" s="86"/>
      <c r="E1" s="86">
        <v>2018</v>
      </c>
      <c r="F1" s="86">
        <v>2019</v>
      </c>
      <c r="G1" s="86">
        <v>2020</v>
      </c>
      <c r="H1" s="86">
        <v>2021</v>
      </c>
      <c r="I1" s="86">
        <v>2022</v>
      </c>
    </row>
    <row r="2" spans="1:9" ht="14.5" customHeight="1" x14ac:dyDescent="0.35">
      <c r="A2" s="43" t="s">
        <v>302</v>
      </c>
      <c r="B2" s="26"/>
      <c r="C2" s="26"/>
      <c r="D2" s="26"/>
      <c r="E2" s="26"/>
      <c r="F2" s="26"/>
      <c r="G2" s="26"/>
      <c r="H2" s="26"/>
      <c r="I2" s="26"/>
    </row>
    <row r="3" spans="1:9" ht="14.5" customHeight="1" x14ac:dyDescent="0.35">
      <c r="A3" s="54" t="s">
        <v>333</v>
      </c>
      <c r="B3" s="45"/>
      <c r="C3" s="45"/>
      <c r="D3" s="55"/>
      <c r="E3" s="46">
        <f>+'Profit&amp;Loss'!E14</f>
        <v>8.700792000000007</v>
      </c>
      <c r="F3" s="46">
        <f>+'Profit&amp;Loss'!F14</f>
        <v>7.7457489999999911</v>
      </c>
      <c r="G3" s="46">
        <f>+'Profit&amp;Loss'!G14</f>
        <v>10.211646999999999</v>
      </c>
      <c r="H3" s="46">
        <f>+'Profit&amp;Loss'!H14</f>
        <v>10.689000000000005</v>
      </c>
      <c r="I3" s="46">
        <f>+'Profit&amp;Loss'!I14</f>
        <v>0.87999999999999723</v>
      </c>
    </row>
    <row r="4" spans="1:9" ht="14.5" customHeight="1" x14ac:dyDescent="0.35">
      <c r="A4" s="56" t="s">
        <v>343</v>
      </c>
      <c r="B4" s="26"/>
      <c r="C4" s="26"/>
      <c r="D4" s="26"/>
      <c r="E4" s="52">
        <f>+'Profit&amp;Loss'!E27</f>
        <v>-1.567196</v>
      </c>
      <c r="F4" s="52">
        <f>+'Profit&amp;Loss'!F27</f>
        <v>1.139389</v>
      </c>
      <c r="G4" s="52">
        <f>+'Profit&amp;Loss'!G27</f>
        <v>6.9690000000000002E-2</v>
      </c>
      <c r="H4" s="52">
        <f>+'Profit&amp;Loss'!H27</f>
        <v>-0.47099999999999997</v>
      </c>
      <c r="I4" s="52">
        <f>+'Profit&amp;Loss'!I27</f>
        <v>0</v>
      </c>
    </row>
    <row r="5" spans="1:9" ht="14.5" customHeight="1" x14ac:dyDescent="0.35">
      <c r="A5" s="57" t="s">
        <v>345</v>
      </c>
      <c r="B5" s="26"/>
      <c r="C5" s="26"/>
      <c r="D5" s="26"/>
      <c r="E5" s="52">
        <f>'Reclassified BS'!D7-'Reclassified BS'!E7</f>
        <v>-1.3067720000000005</v>
      </c>
      <c r="F5" s="52">
        <f>'Reclassified BS'!E7-'Reclassified BS'!F7</f>
        <v>2.515612</v>
      </c>
      <c r="G5" s="52">
        <f>'Reclassified BS'!F7-'Reclassified BS'!G7</f>
        <v>-2.9091949999999995</v>
      </c>
      <c r="H5" s="52">
        <f>'Reclassified BS'!G7-'Reclassified BS'!H7</f>
        <v>-4.5495579999999993</v>
      </c>
      <c r="I5" s="52">
        <f>'Reclassified BS'!H7-'Reclassified BS'!I7</f>
        <v>1.0099999999999998</v>
      </c>
    </row>
    <row r="6" spans="1:9" ht="14.5" customHeight="1" x14ac:dyDescent="0.35">
      <c r="A6" s="57" t="s">
        <v>346</v>
      </c>
      <c r="B6" s="26"/>
      <c r="C6" s="26"/>
      <c r="D6" s="26"/>
      <c r="E6" s="52">
        <f>'Reclassified BS'!D8-'Reclassified BS'!E8</f>
        <v>-0.20902599999999971</v>
      </c>
      <c r="F6" s="52">
        <f>'Reclassified BS'!E8-'Reclassified BS'!F8</f>
        <v>0.29189000000000043</v>
      </c>
      <c r="G6" s="52">
        <f>'Reclassified BS'!F8-'Reclassified BS'!G8</f>
        <v>-3.0299990000000001</v>
      </c>
      <c r="H6" s="52">
        <f>'Reclassified BS'!G8-'Reclassified BS'!H8</f>
        <v>-1.1887520000000009</v>
      </c>
      <c r="I6" s="52">
        <f>'Reclassified BS'!H8-'Reclassified BS'!I8</f>
        <v>0.51200000000000045</v>
      </c>
    </row>
    <row r="7" spans="1:9" ht="14.5" customHeight="1" x14ac:dyDescent="0.35">
      <c r="A7" s="57" t="s">
        <v>347</v>
      </c>
      <c r="B7" s="26"/>
      <c r="C7" s="26"/>
      <c r="D7" s="26"/>
      <c r="E7" s="52">
        <f>'Reclassified BS'!D9-'Reclassified BS'!E9</f>
        <v>5.4805439999999983</v>
      </c>
      <c r="F7" s="52">
        <f>'Reclassified BS'!E9-'Reclassified BS'!F9</f>
        <v>-2.3297670000000004</v>
      </c>
      <c r="G7" s="52">
        <f>'Reclassified BS'!F9-'Reclassified BS'!G9</f>
        <v>2.4387180000000015</v>
      </c>
      <c r="H7" s="52">
        <f>'Reclassified BS'!G9-'Reclassified BS'!H9</f>
        <v>1.8361869999999989</v>
      </c>
      <c r="I7" s="52">
        <f>'Reclassified BS'!H9-'Reclassified BS'!I9</f>
        <v>1.8019999999999996</v>
      </c>
    </row>
    <row r="8" spans="1:9" ht="14.5" customHeight="1" x14ac:dyDescent="0.35">
      <c r="A8" s="57" t="s">
        <v>348</v>
      </c>
      <c r="B8" s="26"/>
      <c r="C8" s="26"/>
      <c r="D8" s="26"/>
      <c r="E8" s="52">
        <f>'Reclassified BS'!D10-'Reclassified BS'!E10</f>
        <v>0</v>
      </c>
      <c r="F8" s="52">
        <f>'Reclassified BS'!E10-'Reclassified BS'!F10</f>
        <v>0</v>
      </c>
      <c r="G8" s="52">
        <f>'Reclassified BS'!F10-'Reclassified BS'!G10</f>
        <v>0</v>
      </c>
      <c r="H8" s="52">
        <f>'Reclassified BS'!G10-'Reclassified BS'!H10</f>
        <v>0</v>
      </c>
      <c r="I8" s="52">
        <f>'Reclassified BS'!H10-'Reclassified BS'!I10</f>
        <v>0</v>
      </c>
    </row>
    <row r="9" spans="1:9" ht="14.5" customHeight="1" x14ac:dyDescent="0.35">
      <c r="A9" s="58" t="s">
        <v>349</v>
      </c>
      <c r="B9" s="59"/>
      <c r="C9" s="59"/>
      <c r="D9" s="59"/>
      <c r="E9" s="60">
        <f>+E8+E7+E6+E5</f>
        <v>3.9647459999999981</v>
      </c>
      <c r="F9" s="60">
        <f t="shared" ref="F9:I9" si="0">+F8+F7+F6+F5</f>
        <v>0.47773500000000002</v>
      </c>
      <c r="G9" s="60">
        <f t="shared" si="0"/>
        <v>-3.5004759999999981</v>
      </c>
      <c r="H9" s="60">
        <f t="shared" si="0"/>
        <v>-3.9021230000000013</v>
      </c>
      <c r="I9" s="60">
        <f t="shared" si="0"/>
        <v>3.3239999999999998</v>
      </c>
    </row>
    <row r="10" spans="1:9" ht="14.5" customHeight="1" x14ac:dyDescent="0.35">
      <c r="A10" s="61" t="s">
        <v>350</v>
      </c>
      <c r="B10" s="26"/>
      <c r="C10" s="26"/>
      <c r="D10" s="26"/>
      <c r="E10" s="52">
        <f>'Reclassified BS'!D14-'Reclassified BS'!E14</f>
        <v>-1.342573</v>
      </c>
      <c r="F10" s="52">
        <f>'Reclassified BS'!E14-'Reclassified BS'!F14</f>
        <v>-1.3750869999999999</v>
      </c>
      <c r="G10" s="52">
        <f>'Reclassified BS'!F14-'Reclassified BS'!G14</f>
        <v>0.53930299999999987</v>
      </c>
      <c r="H10" s="52">
        <f>'Reclassified BS'!G14-'Reclassified BS'!H14</f>
        <v>-0.45540899999999995</v>
      </c>
      <c r="I10" s="52">
        <f>'Reclassified BS'!H14-'Reclassified BS'!I14</f>
        <v>-3.72</v>
      </c>
    </row>
    <row r="11" spans="1:9" ht="14.5" customHeight="1" x14ac:dyDescent="0.35">
      <c r="A11" s="62" t="s">
        <v>336</v>
      </c>
      <c r="B11" s="26"/>
      <c r="C11" s="26"/>
      <c r="D11" s="26"/>
      <c r="E11" s="52">
        <f>+'Profit&amp;Loss'!E19</f>
        <v>0</v>
      </c>
      <c r="F11" s="103">
        <f>+'Profit&amp;Loss'!F19</f>
        <v>-5.820989</v>
      </c>
      <c r="G11" s="52">
        <f>+'Profit&amp;Loss'!G19</f>
        <v>-0.46</v>
      </c>
      <c r="H11" s="52">
        <f>+'Profit&amp;Loss'!H19</f>
        <v>0</v>
      </c>
      <c r="I11" s="52">
        <f>+'Profit&amp;Loss'!I19</f>
        <v>0</v>
      </c>
    </row>
    <row r="12" spans="1:9" ht="14.5" customHeight="1" x14ac:dyDescent="0.35">
      <c r="A12" s="54" t="s">
        <v>351</v>
      </c>
      <c r="B12" s="45"/>
      <c r="C12" s="45"/>
      <c r="D12" s="45"/>
      <c r="E12" s="63">
        <f>+E11+E10+E9+E4+E3</f>
        <v>9.7557690000000044</v>
      </c>
      <c r="F12" s="63">
        <f t="shared" ref="F12:I12" si="1">+F11+F10+F9+F4+F3</f>
        <v>2.1667969999999919</v>
      </c>
      <c r="G12" s="63">
        <f t="shared" si="1"/>
        <v>6.860164000000001</v>
      </c>
      <c r="H12" s="63">
        <f t="shared" si="1"/>
        <v>5.8604680000000045</v>
      </c>
      <c r="I12" s="63">
        <f t="shared" si="1"/>
        <v>0.48399999999999688</v>
      </c>
    </row>
    <row r="13" spans="1:9" ht="14.5" customHeight="1" x14ac:dyDescent="0.35">
      <c r="A13" s="56" t="s">
        <v>352</v>
      </c>
      <c r="B13" s="26"/>
      <c r="C13" s="26"/>
      <c r="D13" s="26"/>
      <c r="E13" s="52">
        <f>+'Reclassified BS'!D3-'Reclassified BS'!E3+'Profit&amp;Loss'!E16</f>
        <v>-14.942528999999997</v>
      </c>
      <c r="F13" s="52">
        <f>+'Reclassified BS'!E3-'Reclassified BS'!F3+'Profit&amp;Loss'!F16</f>
        <v>-12.280817000000006</v>
      </c>
      <c r="G13" s="52">
        <f>+'Reclassified BS'!F3-'Reclassified BS'!G3+'Profit&amp;Loss'!G16</f>
        <v>-11.212791000000001</v>
      </c>
      <c r="H13" s="52">
        <f>+'Reclassified BS'!G3-'Reclassified BS'!H3+'Profit&amp;Loss'!H16</f>
        <v>-12.956731999999999</v>
      </c>
      <c r="I13" s="52">
        <f>+'Reclassified BS'!H3-'Reclassified BS'!I3+'Profit&amp;Loss'!I16</f>
        <v>-6.5179999999999971</v>
      </c>
    </row>
    <row r="14" spans="1:9" ht="14.5" customHeight="1" x14ac:dyDescent="0.35">
      <c r="A14" s="26" t="s">
        <v>353</v>
      </c>
      <c r="B14" s="26"/>
      <c r="C14" s="26"/>
      <c r="D14" s="26"/>
      <c r="E14" s="52">
        <f>+'Reclassified BS'!D19-'Reclassified BS'!E19+'Reclassified BS'!D4-'Reclassified BS'!E4+'Reclassified BS'!D5-'Reclassified BS'!E5</f>
        <v>-2.5466129999999998</v>
      </c>
      <c r="F14" s="103">
        <f>+'Reclassified BS'!E19-'Reclassified BS'!F19+'Reclassified BS'!E4-'Reclassified BS'!F4+'Reclassified BS'!E5-'Reclassified BS'!F5</f>
        <v>-66.59862099999998</v>
      </c>
      <c r="G14" s="52">
        <f>+'Reclassified BS'!F19-'Reclassified BS'!G19+'Reclassified BS'!F4-'Reclassified BS'!G4+'Reclassified BS'!F5-'Reclassified BS'!G5</f>
        <v>7.8572149999999894</v>
      </c>
      <c r="H14" s="52">
        <f>+'Reclassified BS'!G19-'Reclassified BS'!H19+'Reclassified BS'!G4-'Reclassified BS'!H4+'Reclassified BS'!G5-'Reclassified BS'!H5</f>
        <v>0.73850200000000998</v>
      </c>
      <c r="I14" s="52">
        <f>+'Reclassified BS'!H19-'Reclassified BS'!I19+'Reclassified BS'!H4-'Reclassified BS'!I4+'Reclassified BS'!H5-'Reclassified BS'!I5</f>
        <v>-6.544000000000004</v>
      </c>
    </row>
    <row r="15" spans="1:9" ht="14.5" customHeight="1" x14ac:dyDescent="0.35">
      <c r="A15" s="61" t="s">
        <v>354</v>
      </c>
      <c r="B15" s="26"/>
      <c r="C15" s="26"/>
      <c r="D15" s="26"/>
      <c r="E15" s="52">
        <f>+'Profit&amp;Loss'!E24</f>
        <v>0</v>
      </c>
      <c r="F15" s="52">
        <f>+'Profit&amp;Loss'!F24</f>
        <v>0</v>
      </c>
      <c r="G15" s="52">
        <f>+'Profit&amp;Loss'!G24</f>
        <v>0</v>
      </c>
      <c r="H15" s="52">
        <f>+'Profit&amp;Loss'!H24</f>
        <v>0</v>
      </c>
      <c r="I15" s="52">
        <f>+'Profit&amp;Loss'!I24</f>
        <v>1.516</v>
      </c>
    </row>
    <row r="16" spans="1:9" ht="14.5" customHeight="1" x14ac:dyDescent="0.35">
      <c r="A16" s="54" t="s">
        <v>378</v>
      </c>
      <c r="B16" s="45"/>
      <c r="C16" s="45"/>
      <c r="D16" s="45"/>
      <c r="E16" s="63">
        <f>+E15+E14+E13+E12</f>
        <v>-7.7333729999999932</v>
      </c>
      <c r="F16" s="63">
        <f t="shared" ref="F16:I16" si="2">+F15+F14+F13+F12</f>
        <v>-76.712641000000005</v>
      </c>
      <c r="G16" s="63">
        <f t="shared" si="2"/>
        <v>3.5045879999999894</v>
      </c>
      <c r="H16" s="63">
        <f t="shared" si="2"/>
        <v>-6.357761999999985</v>
      </c>
      <c r="I16" s="63">
        <f t="shared" si="2"/>
        <v>-11.062000000000005</v>
      </c>
    </row>
    <row r="17" spans="1:9" ht="14.5" customHeight="1" x14ac:dyDescent="0.35">
      <c r="A17" s="61" t="s">
        <v>355</v>
      </c>
      <c r="B17" s="26"/>
      <c r="C17" s="26"/>
      <c r="D17" s="26"/>
      <c r="E17" s="52">
        <f>-SUM('Reclassified BS'!E22:E23)+SUM('Reclassified BS'!D22:D23)</f>
        <v>9.9583229999999965</v>
      </c>
      <c r="F17" s="52">
        <f>-SUM('Reclassified BS'!F22:F23)+SUM('Reclassified BS'!E22:E23)</f>
        <v>31.023834000000001</v>
      </c>
      <c r="G17" s="52">
        <f>-SUM('Reclassified BS'!G22:G23)+SUM('Reclassified BS'!F22:F23)</f>
        <v>3.0147230000000107</v>
      </c>
      <c r="H17" s="52">
        <f>-SUM('Reclassified BS'!H22:H23)+SUM('Reclassified BS'!G22:G23)</f>
        <v>0.34850799999999538</v>
      </c>
      <c r="I17" s="52">
        <f>-SUM('Reclassified BS'!I22:I23)+SUM('Reclassified BS'!H22:H23)</f>
        <v>5.4449999999999932</v>
      </c>
    </row>
    <row r="18" spans="1:9" ht="14.5" customHeight="1" x14ac:dyDescent="0.35">
      <c r="A18" s="61" t="s">
        <v>356</v>
      </c>
      <c r="B18" s="26"/>
      <c r="C18" s="26"/>
      <c r="D18" s="26"/>
      <c r="E18" s="52">
        <f>-SUM('Reclassified BS'!E24:E25)+SUM('Reclassified BS'!D24:D25)</f>
        <v>0</v>
      </c>
      <c r="F18" s="52">
        <f>-SUM('Reclassified BS'!F24:F25)+SUM('Reclassified BS'!E24:E25)</f>
        <v>0</v>
      </c>
      <c r="G18" s="52">
        <f>-SUM('Reclassified BS'!G24:G25)+SUM('Reclassified BS'!F24:F25)</f>
        <v>0</v>
      </c>
      <c r="H18" s="52">
        <f>-SUM('Reclassified BS'!H24:H25)+SUM('Reclassified BS'!G24:G25)</f>
        <v>3.9460000000000002</v>
      </c>
      <c r="I18" s="52">
        <f>-SUM('Reclassified BS'!I24:I25)+SUM('Reclassified BS'!H24:H25)</f>
        <v>-0.59200000000000008</v>
      </c>
    </row>
    <row r="19" spans="1:9" ht="14.5" customHeight="1" x14ac:dyDescent="0.35">
      <c r="A19" s="61" t="s">
        <v>357</v>
      </c>
      <c r="B19" s="26"/>
      <c r="C19" s="26"/>
      <c r="D19" s="26"/>
      <c r="E19" s="52">
        <f>+SUM('Profit&amp;Loss'!E20:E23)</f>
        <v>-0.58117800000000008</v>
      </c>
      <c r="F19" s="52">
        <f>+SUM('Profit&amp;Loss'!F20:F23)</f>
        <v>-3.2680829999999998</v>
      </c>
      <c r="G19" s="52">
        <f>+SUM('Profit&amp;Loss'!G20:G23)</f>
        <v>-5.2908999999999997</v>
      </c>
      <c r="H19" s="52">
        <f>+SUM('Profit&amp;Loss'!H20:H23)</f>
        <v>-3.7679999999999998</v>
      </c>
      <c r="I19" s="52">
        <f>+SUM('Profit&amp;Loss'!I20:I23)</f>
        <v>-2.2850000000000001</v>
      </c>
    </row>
    <row r="20" spans="1:9" ht="14.5" customHeight="1" x14ac:dyDescent="0.35">
      <c r="A20" s="54" t="s">
        <v>358</v>
      </c>
      <c r="B20" s="45"/>
      <c r="C20" s="45"/>
      <c r="D20" s="45"/>
      <c r="E20" s="63">
        <f>+E19+E18+E17+E16</f>
        <v>1.6437720000000038</v>
      </c>
      <c r="F20" s="63">
        <f t="shared" ref="F20:I20" si="3">+F19+F18+F17+F16</f>
        <v>-48.956890000000001</v>
      </c>
      <c r="G20" s="63">
        <f t="shared" si="3"/>
        <v>1.2284110000000004</v>
      </c>
      <c r="H20" s="63">
        <f t="shared" si="3"/>
        <v>-5.8312539999999888</v>
      </c>
      <c r="I20" s="63">
        <f t="shared" si="3"/>
        <v>-8.4940000000000122</v>
      </c>
    </row>
    <row r="21" spans="1:9" ht="14.5" customHeight="1" x14ac:dyDescent="0.35">
      <c r="A21" s="61" t="s">
        <v>359</v>
      </c>
      <c r="B21" s="26"/>
      <c r="C21" s="26"/>
      <c r="D21" s="26"/>
      <c r="E21" s="52">
        <f>'Reclassified BS'!D28-'Reclassified BS'!E28-'Profit&amp;Loss'!E28</f>
        <v>-2.1946590000000086</v>
      </c>
      <c r="F21" s="52">
        <f>'Reclassified BS'!E28-'Reclassified BS'!F28-'Profit&amp;Loss'!F28</f>
        <v>45.009581000000011</v>
      </c>
      <c r="G21" s="52">
        <f>'Reclassified BS'!F28-'Reclassified BS'!G28-'Profit&amp;Loss'!G28</f>
        <v>7.0752000000004145E-2</v>
      </c>
      <c r="H21" s="52">
        <f>'Reclassified BS'!G28-'Reclassified BS'!H28-'Profit&amp;Loss'!H28</f>
        <v>6.2455249999999936</v>
      </c>
      <c r="I21" s="52">
        <f>'Reclassified BS'!H28-'Reclassified BS'!I28-'Profit&amp;Loss'!I28</f>
        <v>8.9370000000000012</v>
      </c>
    </row>
    <row r="22" spans="1:9" ht="14.5" customHeight="1" x14ac:dyDescent="0.35">
      <c r="A22" s="54" t="s">
        <v>360</v>
      </c>
      <c r="B22" s="45"/>
      <c r="C22" s="45"/>
      <c r="D22" s="45"/>
      <c r="E22" s="63">
        <f>+E21+E20</f>
        <v>-0.55088700000000479</v>
      </c>
      <c r="F22" s="63">
        <f t="shared" ref="F22:I22" si="4">+F21+F20</f>
        <v>-3.94730899999999</v>
      </c>
      <c r="G22" s="63">
        <f t="shared" si="4"/>
        <v>1.2991630000000045</v>
      </c>
      <c r="H22" s="63">
        <f t="shared" si="4"/>
        <v>0.41427100000000472</v>
      </c>
      <c r="I22" s="63">
        <f t="shared" si="4"/>
        <v>0.44299999999998896</v>
      </c>
    </row>
    <row r="23" spans="1:9" x14ac:dyDescent="0.35">
      <c r="A23" s="26"/>
      <c r="B23" s="26"/>
      <c r="C23" s="26"/>
      <c r="D23" s="26"/>
      <c r="E23" s="26"/>
      <c r="F23" s="26"/>
      <c r="G23" s="26"/>
      <c r="H23" s="26"/>
      <c r="I23" s="26"/>
    </row>
    <row r="24" spans="1:9" x14ac:dyDescent="0.35">
      <c r="A24" s="54" t="s">
        <v>361</v>
      </c>
      <c r="B24" s="45"/>
      <c r="C24" s="45"/>
      <c r="D24" s="45"/>
      <c r="E24" s="63">
        <f>+E22+'Reclassified BS'!D21</f>
        <v>5.0968749999999954</v>
      </c>
      <c r="F24" s="63">
        <f>+F22+'Reclassified BS'!E21</f>
        <v>1.1495660000000099</v>
      </c>
      <c r="G24" s="63">
        <f>+G22+'Reclassified BS'!F21</f>
        <v>2.4487290000000046</v>
      </c>
      <c r="H24" s="63">
        <f>+H22+'Reclassified BS'!G21</f>
        <v>2.8630000000000049</v>
      </c>
      <c r="I24" s="63">
        <f>+I22+'Reclassified BS'!H21</f>
        <v>3.3059999999999889</v>
      </c>
    </row>
    <row r="25" spans="1:9" x14ac:dyDescent="0.35">
      <c r="A25" s="64"/>
      <c r="B25" s="26"/>
      <c r="C25" s="26"/>
      <c r="D25" s="26"/>
      <c r="E25" s="65"/>
      <c r="F25" s="65"/>
      <c r="G25" s="65"/>
      <c r="H25" s="65"/>
      <c r="I25" s="65"/>
    </row>
    <row r="26" spans="1:9" x14ac:dyDescent="0.35">
      <c r="A26" s="67" t="s">
        <v>322</v>
      </c>
      <c r="B26" s="40"/>
      <c r="C26" s="40"/>
      <c r="D26" s="40"/>
      <c r="E26" s="66">
        <f>+E24-'Reclassified BS'!E21</f>
        <v>0</v>
      </c>
      <c r="F26" s="66">
        <f>+F24-'Reclassified BS'!F21</f>
        <v>9.7699626167013776E-15</v>
      </c>
      <c r="G26" s="66">
        <f>+G24-'Reclassified BS'!G21</f>
        <v>4.4408920985006262E-15</v>
      </c>
      <c r="H26" s="66">
        <f>+H24-'Reclassified BS'!H21</f>
        <v>4.8849813083506888E-15</v>
      </c>
      <c r="I26" s="66">
        <f>+I24-'Reclassified BS'!I21</f>
        <v>-1.1102230246251565E-14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49759-5D20-45EA-AA50-64960EAD473D}">
  <dimension ref="A1:I25"/>
  <sheetViews>
    <sheetView showGridLines="0" zoomScale="71" zoomScaleNormal="90" workbookViewId="0">
      <selection activeCell="U15" sqref="U15"/>
    </sheetView>
  </sheetViews>
  <sheetFormatPr defaultRowHeight="14.5" x14ac:dyDescent="0.35"/>
  <cols>
    <col min="4" max="4" width="9.6328125" customWidth="1"/>
  </cols>
  <sheetData>
    <row r="1" spans="1:9" x14ac:dyDescent="0.35">
      <c r="A1" s="86" t="s">
        <v>254</v>
      </c>
      <c r="B1" s="86"/>
      <c r="C1" s="86"/>
      <c r="D1" s="86">
        <v>2017</v>
      </c>
      <c r="E1" s="86">
        <v>2018</v>
      </c>
      <c r="F1" s="86">
        <v>2019</v>
      </c>
      <c r="G1" s="86">
        <v>2020</v>
      </c>
      <c r="H1" s="86">
        <v>2021</v>
      </c>
      <c r="I1" s="86">
        <v>2022</v>
      </c>
    </row>
    <row r="2" spans="1:9" x14ac:dyDescent="0.35">
      <c r="A2" s="68"/>
      <c r="B2" s="68"/>
      <c r="C2" s="68"/>
      <c r="D2" s="68"/>
      <c r="E2" s="68"/>
      <c r="F2" s="68"/>
      <c r="G2" s="68"/>
      <c r="H2" s="68"/>
      <c r="I2" s="68"/>
    </row>
    <row r="3" spans="1:9" x14ac:dyDescent="0.35">
      <c r="A3" s="86" t="s">
        <v>362</v>
      </c>
      <c r="B3" s="86"/>
      <c r="C3" s="86"/>
      <c r="D3" s="78"/>
      <c r="E3" s="78"/>
      <c r="F3" s="78"/>
      <c r="G3" s="78"/>
      <c r="H3" s="78"/>
      <c r="I3" s="78"/>
    </row>
    <row r="4" spans="1:9" x14ac:dyDescent="0.35">
      <c r="A4" s="80" t="s">
        <v>379</v>
      </c>
      <c r="B4" s="80"/>
      <c r="C4" s="80"/>
      <c r="D4" s="81">
        <f>AIDA!D329</f>
        <v>21.01</v>
      </c>
      <c r="E4" s="81">
        <f>AIDA!E329</f>
        <v>13.63</v>
      </c>
      <c r="F4" s="81">
        <f>AIDA!F329</f>
        <v>-4.99</v>
      </c>
      <c r="G4" s="81">
        <f>AIDA!G329</f>
        <v>-4.1399999999999997</v>
      </c>
      <c r="H4" s="81">
        <f>AIDA!H329</f>
        <v>3.99</v>
      </c>
      <c r="I4" s="81">
        <f>AIDA!I329</f>
        <v>-5.42</v>
      </c>
    </row>
    <row r="5" spans="1:9" x14ac:dyDescent="0.35">
      <c r="A5" s="82" t="s">
        <v>380</v>
      </c>
      <c r="B5" s="82"/>
      <c r="C5" s="82"/>
      <c r="D5" s="83">
        <f>AIDA!D328</f>
        <v>12.63</v>
      </c>
      <c r="E5" s="83">
        <f>AIDA!E328</f>
        <v>8.4600000000000009</v>
      </c>
      <c r="F5" s="83">
        <f>AIDA!F328</f>
        <v>-4.03</v>
      </c>
      <c r="G5" s="83">
        <f>AIDA!G328</f>
        <v>-3.18</v>
      </c>
      <c r="H5" s="83">
        <f>AIDA!H328</f>
        <v>3.06</v>
      </c>
      <c r="I5" s="83">
        <f>AIDA!I328</f>
        <v>-4.3499999999999996</v>
      </c>
    </row>
    <row r="6" spans="1:9" x14ac:dyDescent="0.35">
      <c r="A6" s="80" t="s">
        <v>381</v>
      </c>
      <c r="B6" s="80"/>
      <c r="C6" s="80"/>
      <c r="D6" s="81">
        <f>AIDA!D330</f>
        <v>12.27</v>
      </c>
      <c r="E6" s="81">
        <f>AIDA!E330</f>
        <v>9.9</v>
      </c>
      <c r="F6" s="81">
        <f>AIDA!F330</f>
        <v>-9.06</v>
      </c>
      <c r="G6" s="81">
        <f>AIDA!G330</f>
        <v>-6.42</v>
      </c>
      <c r="H6" s="81">
        <f>AIDA!H330</f>
        <v>6.58</v>
      </c>
      <c r="I6" s="81">
        <f>AIDA!I330</f>
        <v>-8.5</v>
      </c>
    </row>
    <row r="7" spans="1:9" x14ac:dyDescent="0.35">
      <c r="A7" s="82" t="s">
        <v>382</v>
      </c>
      <c r="B7" s="82"/>
      <c r="C7" s="82"/>
      <c r="D7" s="83">
        <f>AIDA!D331</f>
        <v>36.619999999999997</v>
      </c>
      <c r="E7" s="83">
        <f>AIDA!E331</f>
        <v>32.58</v>
      </c>
      <c r="F7" s="83">
        <f>AIDA!F331</f>
        <v>-15.77</v>
      </c>
      <c r="G7" s="83">
        <f>AIDA!G331</f>
        <v>-24.31</v>
      </c>
      <c r="H7" s="83">
        <f>AIDA!H331</f>
        <v>0.87</v>
      </c>
      <c r="I7" s="83">
        <f>AIDA!I331</f>
        <v>-15.6</v>
      </c>
    </row>
    <row r="8" spans="1:9" x14ac:dyDescent="0.35">
      <c r="A8" s="80" t="s">
        <v>373</v>
      </c>
      <c r="B8" s="80"/>
      <c r="C8" s="80"/>
      <c r="D8" s="81">
        <f>AIDA!D315</f>
        <v>1.02</v>
      </c>
      <c r="E8" s="81">
        <f>AIDA!E315</f>
        <v>0.84</v>
      </c>
      <c r="F8" s="81">
        <f>AIDA!F315</f>
        <v>0.44</v>
      </c>
      <c r="G8" s="81">
        <f>AIDA!G315</f>
        <v>0.49</v>
      </c>
      <c r="H8" s="81">
        <f>AIDA!H315</f>
        <v>0.46</v>
      </c>
      <c r="I8" s="81">
        <f>AIDA!I315</f>
        <v>0.49</v>
      </c>
    </row>
    <row r="9" spans="1:9" x14ac:dyDescent="0.35">
      <c r="A9" s="28"/>
      <c r="B9" s="28"/>
      <c r="C9" s="28"/>
      <c r="D9" s="79"/>
      <c r="E9" s="79"/>
      <c r="F9" s="79"/>
      <c r="G9" s="79"/>
      <c r="H9" s="79"/>
      <c r="I9" s="79"/>
    </row>
    <row r="10" spans="1:9" x14ac:dyDescent="0.35">
      <c r="A10" s="86" t="s">
        <v>363</v>
      </c>
      <c r="B10" s="86"/>
      <c r="C10" s="86"/>
      <c r="D10" s="79"/>
      <c r="E10" s="79"/>
      <c r="F10" s="79"/>
      <c r="G10" s="79"/>
      <c r="H10" s="79"/>
      <c r="I10" s="79"/>
    </row>
    <row r="11" spans="1:9" x14ac:dyDescent="0.35">
      <c r="A11" s="68"/>
      <c r="B11" s="68"/>
      <c r="C11" s="68"/>
      <c r="D11" s="79"/>
      <c r="E11" s="79"/>
      <c r="F11" s="79"/>
      <c r="G11" s="79"/>
      <c r="H11" s="79"/>
      <c r="I11" s="79"/>
    </row>
    <row r="12" spans="1:9" x14ac:dyDescent="0.35">
      <c r="A12" s="82" t="s">
        <v>367</v>
      </c>
      <c r="B12" s="82"/>
      <c r="C12" s="82"/>
      <c r="D12" s="83">
        <f>AIDA!D296</f>
        <v>1.17</v>
      </c>
      <c r="E12" s="83">
        <f>AIDA!E296</f>
        <v>1.02</v>
      </c>
      <c r="F12" s="83">
        <f>AIDA!F296</f>
        <v>1.06</v>
      </c>
      <c r="G12" s="83">
        <f>AIDA!G296</f>
        <v>1.04</v>
      </c>
      <c r="H12" s="83">
        <f>AIDA!H296</f>
        <v>1.1599999999999999</v>
      </c>
      <c r="I12" s="83">
        <f>AIDA!I296</f>
        <v>0.39</v>
      </c>
    </row>
    <row r="13" spans="1:9" x14ac:dyDescent="0.35">
      <c r="A13" s="80" t="s">
        <v>368</v>
      </c>
      <c r="B13" s="80"/>
      <c r="C13" s="80"/>
      <c r="D13" s="81">
        <f>AIDA!D295</f>
        <v>0.8</v>
      </c>
      <c r="E13" s="81">
        <f>AIDA!E295</f>
        <v>0.66</v>
      </c>
      <c r="F13" s="81">
        <f>AIDA!F295</f>
        <v>0.71</v>
      </c>
      <c r="G13" s="81">
        <f>AIDA!G295</f>
        <v>0.68</v>
      </c>
      <c r="H13" s="81">
        <f>AIDA!H295</f>
        <v>0.69</v>
      </c>
      <c r="I13" s="81">
        <f>AIDA!I295</f>
        <v>0.25</v>
      </c>
    </row>
    <row r="14" spans="1:9" x14ac:dyDescent="0.35">
      <c r="A14" s="82" t="s">
        <v>369</v>
      </c>
      <c r="B14" s="82"/>
      <c r="C14" s="82"/>
      <c r="D14" s="84">
        <f>AIDA!D321</f>
        <v>115.01</v>
      </c>
      <c r="E14" s="84">
        <f>AIDA!E321</f>
        <v>145.22999999999999</v>
      </c>
      <c r="F14" s="84">
        <f>AIDA!F321</f>
        <v>125.44</v>
      </c>
      <c r="G14" s="84">
        <f>AIDA!G321</f>
        <v>129.47999999999999</v>
      </c>
      <c r="H14" s="84">
        <f>AIDA!H321</f>
        <v>144.18</v>
      </c>
      <c r="I14" s="84">
        <f>AIDA!I321</f>
        <v>114.45</v>
      </c>
    </row>
    <row r="15" spans="1:9" x14ac:dyDescent="0.35">
      <c r="A15" s="80" t="s">
        <v>370</v>
      </c>
      <c r="B15" s="80"/>
      <c r="C15" s="80"/>
      <c r="D15" s="85">
        <f>AIDA!D320</f>
        <v>77.41</v>
      </c>
      <c r="E15" s="85">
        <f>AIDA!E320</f>
        <v>72.02</v>
      </c>
      <c r="F15" s="85">
        <f>AIDA!F320</f>
        <v>68.400000000000006</v>
      </c>
      <c r="G15" s="85">
        <f>AIDA!G320</f>
        <v>78.3</v>
      </c>
      <c r="H15" s="85">
        <f>AIDA!H320</f>
        <v>81.7</v>
      </c>
      <c r="I15" s="85">
        <f>AIDA!I320</f>
        <v>71.14</v>
      </c>
    </row>
    <row r="16" spans="1:9" x14ac:dyDescent="0.35">
      <c r="A16" s="82" t="s">
        <v>371</v>
      </c>
      <c r="B16" s="82"/>
      <c r="C16" s="82"/>
      <c r="D16" s="84">
        <f>AIDA!D319</f>
        <v>142.05000000000001</v>
      </c>
      <c r="E16" s="84">
        <f>AIDA!E319</f>
        <v>147.9</v>
      </c>
      <c r="F16" s="84">
        <f>AIDA!F319</f>
        <v>106.36</v>
      </c>
      <c r="G16" s="84">
        <f>AIDA!G319</f>
        <v>146.94999999999999</v>
      </c>
      <c r="H16" s="84">
        <f>AIDA!H319</f>
        <v>212.67</v>
      </c>
      <c r="I16" s="84">
        <f>AIDA!I319</f>
        <v>163.88</v>
      </c>
    </row>
    <row r="17" spans="1:9" x14ac:dyDescent="0.35">
      <c r="A17" s="80" t="s">
        <v>372</v>
      </c>
      <c r="B17" s="80"/>
      <c r="C17" s="80"/>
      <c r="D17" s="85">
        <f>+D16+D15-D14</f>
        <v>104.45</v>
      </c>
      <c r="E17" s="85">
        <f t="shared" ref="E17:I17" si="0">+E16+E15-E14</f>
        <v>74.690000000000026</v>
      </c>
      <c r="F17" s="85">
        <f t="shared" si="0"/>
        <v>49.319999999999993</v>
      </c>
      <c r="G17" s="85">
        <f t="shared" si="0"/>
        <v>95.77000000000001</v>
      </c>
      <c r="H17" s="85">
        <f t="shared" si="0"/>
        <v>150.19</v>
      </c>
      <c r="I17" s="85">
        <f t="shared" si="0"/>
        <v>120.56999999999998</v>
      </c>
    </row>
    <row r="18" spans="1:9" x14ac:dyDescent="0.35">
      <c r="A18" s="28"/>
      <c r="B18" s="28"/>
      <c r="C18" s="28"/>
      <c r="D18" s="79"/>
      <c r="E18" s="79"/>
      <c r="F18" s="79"/>
      <c r="G18" s="79"/>
      <c r="H18" s="79"/>
      <c r="I18" s="79"/>
    </row>
    <row r="19" spans="1:9" x14ac:dyDescent="0.35">
      <c r="A19" s="86" t="s">
        <v>364</v>
      </c>
      <c r="B19" s="86"/>
      <c r="C19" s="86"/>
      <c r="D19" s="79"/>
      <c r="E19" s="79"/>
      <c r="F19" s="79"/>
      <c r="G19" s="79"/>
      <c r="H19" s="79"/>
      <c r="I19" s="79"/>
    </row>
    <row r="20" spans="1:9" x14ac:dyDescent="0.35">
      <c r="A20" s="82" t="s">
        <v>374</v>
      </c>
      <c r="B20" s="82"/>
      <c r="C20" s="82"/>
      <c r="D20" s="83">
        <f>AIDA!D305</f>
        <v>16.11</v>
      </c>
      <c r="E20" s="83">
        <f>AIDA!E305</f>
        <v>12.96</v>
      </c>
      <c r="F20" s="83">
        <f>AIDA!F305</f>
        <v>0.71</v>
      </c>
      <c r="G20" s="83">
        <f>AIDA!G305</f>
        <v>2.1800000000000002</v>
      </c>
      <c r="H20" s="83">
        <f>AIDA!H305</f>
        <v>2.86</v>
      </c>
      <c r="I20" s="83">
        <f>AIDA!I305</f>
        <v>0.51</v>
      </c>
    </row>
    <row r="21" spans="1:9" x14ac:dyDescent="0.35">
      <c r="A21" s="80" t="s">
        <v>375</v>
      </c>
      <c r="B21" s="80"/>
      <c r="C21" s="80"/>
      <c r="D21" s="81">
        <f>AIDA!D310</f>
        <v>2.19</v>
      </c>
      <c r="E21" s="81">
        <f>AIDA!E310</f>
        <v>2.74</v>
      </c>
      <c r="F21" s="81">
        <f>AIDA!F310</f>
        <v>1.29</v>
      </c>
      <c r="G21" s="81">
        <f>AIDA!G310</f>
        <v>1.67</v>
      </c>
      <c r="H21" s="81">
        <f>AIDA!H310</f>
        <v>1.53</v>
      </c>
      <c r="I21" s="81">
        <f>AIDA!I310</f>
        <v>1.58</v>
      </c>
    </row>
    <row r="22" spans="1:9" x14ac:dyDescent="0.35">
      <c r="A22" s="82" t="s">
        <v>376</v>
      </c>
      <c r="B22" s="82"/>
      <c r="C22" s="82"/>
      <c r="D22" s="83">
        <f>-'Reclassified BS'!D26/'Profit&amp;Loss'!D11</f>
        <v>1.8883670326205391</v>
      </c>
      <c r="E22" s="83">
        <f>-'Reclassified BS'!E26/'Profit&amp;Loss'!E11</f>
        <v>3.0659280938220501</v>
      </c>
      <c r="F22" s="83">
        <f>-'Reclassified BS'!F26/'Profit&amp;Loss'!F11</f>
        <v>7.8822918768806201</v>
      </c>
      <c r="G22" s="83">
        <f>-'Reclassified BS'!G26/'Profit&amp;Loss'!G11</f>
        <v>6.1784208711736213</v>
      </c>
      <c r="H22" s="83">
        <f>-'Reclassified BS'!H26/'Profit&amp;Loss'!H11</f>
        <v>6.2611198811403073</v>
      </c>
      <c r="I22" s="83">
        <f>-'Reclassified BS'!I26/'Profit&amp;Loss'!I11</f>
        <v>61.137021276595888</v>
      </c>
    </row>
    <row r="23" spans="1:9" x14ac:dyDescent="0.35">
      <c r="A23" s="80" t="s">
        <v>377</v>
      </c>
      <c r="B23" s="80"/>
      <c r="C23" s="80"/>
      <c r="D23" s="81">
        <f>CashFlow!E16/'Profit&amp;Loss'!D11</f>
        <v>-0.89318535791813281</v>
      </c>
      <c r="E23" s="81">
        <f>CashFlow!F16/'Profit&amp;Loss'!E11</f>
        <v>-8.756651989801032</v>
      </c>
      <c r="F23" s="81">
        <f>CashFlow!G16/'Profit&amp;Loss'!F11</f>
        <v>0.44677494466924544</v>
      </c>
      <c r="G23" s="81">
        <f>CashFlow!H16/'Profit&amp;Loss'!G11</f>
        <v>-0.61815182602740082</v>
      </c>
      <c r="H23" s="81">
        <f>CashFlow!I16/'Profit&amp;Loss'!H11</f>
        <v>-1.0272077258798402</v>
      </c>
      <c r="I23" s="81">
        <f>CashFlow!J16/'Profit&amp;Loss'!I11</f>
        <v>0</v>
      </c>
    </row>
    <row r="24" spans="1:9" x14ac:dyDescent="0.35">
      <c r="A24" s="82" t="s">
        <v>383</v>
      </c>
      <c r="B24" s="82"/>
      <c r="C24" s="82"/>
      <c r="D24" s="83">
        <f>AIDA!D304</f>
        <v>2.44</v>
      </c>
      <c r="E24" s="83">
        <f>AIDA!E304</f>
        <v>2.12</v>
      </c>
      <c r="F24" s="83">
        <f>AIDA!F304</f>
        <v>4.5</v>
      </c>
      <c r="G24" s="83">
        <f>AIDA!G304</f>
        <v>6.84</v>
      </c>
      <c r="H24" s="83">
        <f>AIDA!H304</f>
        <v>5.68</v>
      </c>
      <c r="I24" s="83">
        <f>AIDA!I304</f>
        <v>3.18</v>
      </c>
    </row>
    <row r="25" spans="1:9" x14ac:dyDescent="0.35">
      <c r="A25" s="26"/>
      <c r="B25" s="26"/>
      <c r="C25" s="26"/>
      <c r="D25" s="79"/>
      <c r="E25" s="79"/>
      <c r="F25" s="79"/>
      <c r="G25" s="79"/>
      <c r="H25" s="79"/>
      <c r="I25" s="79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9"/>
  <sheetViews>
    <sheetView showGridLines="0" topLeftCell="A132" zoomScale="80" zoomScaleNormal="80" workbookViewId="0">
      <selection activeCell="J139" sqref="J139"/>
    </sheetView>
  </sheetViews>
  <sheetFormatPr defaultRowHeight="14.5" customHeight="1" x14ac:dyDescent="0.35"/>
  <cols>
    <col min="1" max="9" width="20.6328125" style="1" customWidth="1"/>
  </cols>
  <sheetData>
    <row r="1" spans="1:9" ht="14.5" customHeight="1" x14ac:dyDescent="0.35">
      <c r="A1" s="19" t="s">
        <v>0</v>
      </c>
      <c r="B1" s="69"/>
      <c r="H1" s="106" t="s">
        <v>396</v>
      </c>
      <c r="I1" s="108" t="s">
        <v>397</v>
      </c>
    </row>
    <row r="2" spans="1:9" ht="14.5" customHeight="1" x14ac:dyDescent="0.35">
      <c r="A2" s="2"/>
      <c r="H2" s="106" t="s">
        <v>395</v>
      </c>
      <c r="I2" s="108" t="s">
        <v>398</v>
      </c>
    </row>
    <row r="3" spans="1:9" ht="34" customHeight="1" x14ac:dyDescent="0.35">
      <c r="A3" s="3"/>
      <c r="B3" s="70" t="s">
        <v>1</v>
      </c>
      <c r="C3" s="20"/>
      <c r="D3" s="5" t="s">
        <v>7</v>
      </c>
      <c r="E3" s="5" t="s">
        <v>6</v>
      </c>
      <c r="F3" s="5" t="s">
        <v>5</v>
      </c>
      <c r="G3" s="5" t="s">
        <v>4</v>
      </c>
      <c r="H3" s="5" t="s">
        <v>3</v>
      </c>
      <c r="I3" s="5" t="s">
        <v>2</v>
      </c>
    </row>
    <row r="4" spans="1:9" ht="34" customHeight="1" x14ac:dyDescent="0.35">
      <c r="A4" s="6"/>
      <c r="B4" s="7"/>
      <c r="C4" s="7"/>
      <c r="D4" s="8" t="s">
        <v>8</v>
      </c>
      <c r="E4" s="8" t="s">
        <v>8</v>
      </c>
      <c r="F4" s="8" t="s">
        <v>8</v>
      </c>
      <c r="G4" s="8" t="s">
        <v>8</v>
      </c>
      <c r="H4" s="8" t="s">
        <v>8</v>
      </c>
      <c r="I4" s="8" t="s">
        <v>8</v>
      </c>
    </row>
    <row r="5" spans="1:9" ht="14.5" customHeight="1" x14ac:dyDescent="0.35">
      <c r="A5" s="9"/>
      <c r="B5" s="71" t="s">
        <v>9</v>
      </c>
      <c r="C5" s="10"/>
      <c r="D5" s="11"/>
      <c r="E5" s="11"/>
      <c r="F5" s="11"/>
      <c r="G5" s="11"/>
      <c r="H5" s="11"/>
      <c r="I5" s="11"/>
    </row>
    <row r="6" spans="1:9" ht="14.5" customHeight="1" x14ac:dyDescent="0.35">
      <c r="A6" s="12"/>
      <c r="B6" s="72" t="s">
        <v>10</v>
      </c>
      <c r="C6" s="21"/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</row>
    <row r="7" spans="1:9" ht="14.5" customHeight="1" x14ac:dyDescent="0.35">
      <c r="A7" s="12"/>
      <c r="B7" s="72" t="s">
        <v>11</v>
      </c>
      <c r="C7" s="21"/>
      <c r="D7" s="87">
        <v>0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</row>
    <row r="8" spans="1:9" ht="14.5" customHeight="1" x14ac:dyDescent="0.35">
      <c r="A8" s="12"/>
      <c r="B8" s="14"/>
      <c r="C8" s="14"/>
      <c r="D8" s="7"/>
      <c r="E8" s="7"/>
      <c r="F8" s="7"/>
      <c r="G8" s="7"/>
      <c r="H8" s="7"/>
      <c r="I8" s="88"/>
    </row>
    <row r="9" spans="1:9" ht="14.5" customHeight="1" x14ac:dyDescent="0.35">
      <c r="A9" s="12"/>
      <c r="B9" s="73" t="s">
        <v>12</v>
      </c>
      <c r="C9" s="13"/>
      <c r="D9" s="89">
        <v>26033808</v>
      </c>
      <c r="E9" s="89">
        <v>41124666</v>
      </c>
      <c r="F9" s="89">
        <v>115653934</v>
      </c>
      <c r="G9" s="89">
        <v>106978937</v>
      </c>
      <c r="H9" s="89">
        <v>115077000</v>
      </c>
      <c r="I9" s="87">
        <v>114391000</v>
      </c>
    </row>
    <row r="10" spans="1:9" ht="14.5" customHeight="1" x14ac:dyDescent="0.35">
      <c r="A10" s="12"/>
      <c r="B10" s="73" t="s">
        <v>13</v>
      </c>
      <c r="C10" s="13"/>
      <c r="D10" s="89">
        <v>1203353</v>
      </c>
      <c r="E10" s="89">
        <v>4107944</v>
      </c>
      <c r="F10" s="89">
        <v>73217170</v>
      </c>
      <c r="G10" s="89">
        <v>67161984</v>
      </c>
      <c r="H10" s="89">
        <v>68770000</v>
      </c>
      <c r="I10" s="87">
        <v>69101000</v>
      </c>
    </row>
    <row r="11" spans="1:9" ht="14.5" customHeight="1" x14ac:dyDescent="0.35">
      <c r="A11" s="12"/>
      <c r="B11" s="73" t="s">
        <v>14</v>
      </c>
      <c r="C11" s="13"/>
      <c r="D11" s="89">
        <v>0</v>
      </c>
      <c r="E11" s="89">
        <v>877020</v>
      </c>
      <c r="F11" s="89">
        <v>1938180</v>
      </c>
      <c r="G11" s="89">
        <v>2664968</v>
      </c>
      <c r="H11" s="89">
        <v>0</v>
      </c>
      <c r="I11" s="87">
        <v>0</v>
      </c>
    </row>
    <row r="12" spans="1:9" ht="14.5" customHeight="1" x14ac:dyDescent="0.35">
      <c r="A12" s="12"/>
      <c r="B12" s="73" t="s">
        <v>15</v>
      </c>
      <c r="C12" s="13"/>
      <c r="D12" s="87">
        <v>5700</v>
      </c>
      <c r="E12" s="87">
        <v>3800</v>
      </c>
      <c r="F12" s="87">
        <v>1900</v>
      </c>
      <c r="G12" s="87">
        <v>0</v>
      </c>
      <c r="H12" s="87">
        <v>0</v>
      </c>
      <c r="I12" s="87">
        <v>0</v>
      </c>
    </row>
    <row r="13" spans="1:9" ht="14.5" customHeight="1" x14ac:dyDescent="0.35">
      <c r="A13" s="12"/>
      <c r="B13" s="73" t="s">
        <v>16</v>
      </c>
      <c r="C13" s="13"/>
      <c r="D13" s="87">
        <v>25900</v>
      </c>
      <c r="E13" s="87">
        <v>18700</v>
      </c>
      <c r="F13" s="87">
        <v>39052</v>
      </c>
      <c r="G13" s="87">
        <v>375929</v>
      </c>
      <c r="H13" s="87">
        <v>409000</v>
      </c>
      <c r="I13" s="87">
        <v>493000</v>
      </c>
    </row>
    <row r="14" spans="1:9" ht="14.5" customHeight="1" x14ac:dyDescent="0.35">
      <c r="A14" s="12"/>
      <c r="B14" s="73" t="s">
        <v>17</v>
      </c>
      <c r="C14" s="13"/>
      <c r="D14" s="87">
        <v>36825</v>
      </c>
      <c r="E14" s="87">
        <v>42944</v>
      </c>
      <c r="F14" s="87">
        <v>26527</v>
      </c>
      <c r="G14" s="87">
        <v>5957</v>
      </c>
      <c r="H14" s="87">
        <v>11000</v>
      </c>
      <c r="I14" s="87">
        <v>18000</v>
      </c>
    </row>
    <row r="15" spans="1:9" ht="14.5" customHeight="1" x14ac:dyDescent="0.35">
      <c r="A15" s="12"/>
      <c r="B15" s="73" t="s">
        <v>18</v>
      </c>
      <c r="C15" s="13"/>
      <c r="D15" s="87">
        <v>0</v>
      </c>
      <c r="E15" s="87">
        <v>0</v>
      </c>
      <c r="F15" s="87">
        <v>67324475</v>
      </c>
      <c r="G15" s="87">
        <v>60237688</v>
      </c>
      <c r="H15" s="107">
        <v>67860000</v>
      </c>
      <c r="I15" s="107">
        <v>67860000</v>
      </c>
    </row>
    <row r="16" spans="1:9" ht="14.5" customHeight="1" x14ac:dyDescent="0.35">
      <c r="A16" s="12"/>
      <c r="B16" s="73" t="s">
        <v>19</v>
      </c>
      <c r="C16" s="13"/>
      <c r="D16" s="87">
        <v>0</v>
      </c>
      <c r="E16" s="87">
        <v>0</v>
      </c>
      <c r="F16" s="101">
        <v>67324475</v>
      </c>
      <c r="G16" s="87">
        <v>60237688</v>
      </c>
      <c r="H16" s="90"/>
      <c r="I16" s="90"/>
    </row>
    <row r="17" spans="1:9" ht="14.5" customHeight="1" x14ac:dyDescent="0.35">
      <c r="A17" s="12"/>
      <c r="B17" s="73" t="s">
        <v>20</v>
      </c>
      <c r="C17" s="13"/>
      <c r="D17" s="87">
        <v>0</v>
      </c>
      <c r="E17" s="87">
        <v>0</v>
      </c>
      <c r="F17" s="87">
        <v>0</v>
      </c>
      <c r="G17" s="87">
        <v>0</v>
      </c>
      <c r="H17" s="87">
        <v>0</v>
      </c>
      <c r="I17" s="87">
        <v>0</v>
      </c>
    </row>
    <row r="18" spans="1:9" ht="14.5" customHeight="1" x14ac:dyDescent="0.35">
      <c r="A18" s="12"/>
      <c r="B18" s="73" t="s">
        <v>21</v>
      </c>
      <c r="C18" s="13"/>
      <c r="D18" s="87">
        <v>1134928</v>
      </c>
      <c r="E18" s="87">
        <v>3165480</v>
      </c>
      <c r="F18" s="87">
        <v>3887036</v>
      </c>
      <c r="G18" s="87">
        <v>3877442</v>
      </c>
      <c r="H18" s="87">
        <v>490000</v>
      </c>
      <c r="I18" s="87">
        <v>730000</v>
      </c>
    </row>
    <row r="19" spans="1:9" ht="14.5" customHeight="1" x14ac:dyDescent="0.35">
      <c r="A19" s="12"/>
      <c r="B19" s="73" t="s">
        <v>22</v>
      </c>
      <c r="C19" s="13"/>
      <c r="D19" s="90"/>
      <c r="E19" s="90"/>
      <c r="F19" s="90"/>
      <c r="G19" s="90"/>
      <c r="H19" s="90"/>
      <c r="I19" s="90"/>
    </row>
    <row r="20" spans="1:9" ht="14.5" customHeight="1" x14ac:dyDescent="0.35">
      <c r="A20" s="12"/>
      <c r="B20" s="14"/>
      <c r="C20" s="14"/>
      <c r="D20" s="7"/>
      <c r="E20" s="7"/>
      <c r="F20" s="7"/>
      <c r="G20" s="7"/>
      <c r="H20" s="7"/>
      <c r="I20" s="88"/>
    </row>
    <row r="21" spans="1:9" ht="14.5" customHeight="1" x14ac:dyDescent="0.35">
      <c r="A21" s="12"/>
      <c r="B21" s="73" t="s">
        <v>23</v>
      </c>
      <c r="C21" s="13"/>
      <c r="D21" s="87">
        <v>24818842</v>
      </c>
      <c r="E21" s="87">
        <v>37005320</v>
      </c>
      <c r="F21" s="87">
        <v>41773172</v>
      </c>
      <c r="G21" s="87">
        <v>38870268</v>
      </c>
      <c r="H21" s="87">
        <v>45777000</v>
      </c>
      <c r="I21" s="87">
        <v>44760000</v>
      </c>
    </row>
    <row r="22" spans="1:9" ht="14.5" customHeight="1" x14ac:dyDescent="0.35">
      <c r="A22" s="12"/>
      <c r="B22" s="73" t="s">
        <v>24</v>
      </c>
      <c r="C22" s="13"/>
      <c r="D22" s="90"/>
      <c r="E22" s="90"/>
      <c r="F22" s="90"/>
      <c r="G22" s="90"/>
      <c r="H22" s="90"/>
      <c r="I22" s="90"/>
    </row>
    <row r="23" spans="1:9" ht="14.5" customHeight="1" x14ac:dyDescent="0.35">
      <c r="A23" s="12"/>
      <c r="B23" s="73" t="s">
        <v>25</v>
      </c>
      <c r="C23" s="13"/>
      <c r="D23" s="89">
        <v>11934714</v>
      </c>
      <c r="E23" s="89">
        <v>13757508</v>
      </c>
      <c r="F23" s="89">
        <v>13485548</v>
      </c>
      <c r="G23" s="89">
        <v>13910089</v>
      </c>
      <c r="H23" s="89">
        <v>17786000</v>
      </c>
      <c r="I23" s="87">
        <v>24027000</v>
      </c>
    </row>
    <row r="24" spans="1:9" ht="14.5" customHeight="1" x14ac:dyDescent="0.35">
      <c r="A24" s="12"/>
      <c r="B24" s="73" t="s">
        <v>26</v>
      </c>
      <c r="C24" s="13"/>
      <c r="D24" s="89">
        <v>8447381</v>
      </c>
      <c r="E24" s="89">
        <v>19041460</v>
      </c>
      <c r="F24" s="89">
        <v>24523796</v>
      </c>
      <c r="G24" s="89">
        <v>23650381</v>
      </c>
      <c r="H24" s="89">
        <v>19431000</v>
      </c>
      <c r="I24" s="87">
        <v>16244000</v>
      </c>
    </row>
    <row r="25" spans="1:9" ht="14.5" customHeight="1" x14ac:dyDescent="0.35">
      <c r="A25" s="12"/>
      <c r="B25" s="73" t="s">
        <v>27</v>
      </c>
      <c r="C25" s="13"/>
      <c r="D25" s="89">
        <v>480181</v>
      </c>
      <c r="E25" s="89">
        <v>831747</v>
      </c>
      <c r="F25" s="89">
        <v>710118</v>
      </c>
      <c r="G25" s="89">
        <v>516771</v>
      </c>
      <c r="H25" s="89">
        <v>407000</v>
      </c>
      <c r="I25" s="87">
        <v>313000</v>
      </c>
    </row>
    <row r="26" spans="1:9" ht="14.5" customHeight="1" x14ac:dyDescent="0.35">
      <c r="A26" s="12"/>
      <c r="B26" s="73" t="s">
        <v>28</v>
      </c>
      <c r="C26" s="13"/>
      <c r="D26" s="87">
        <v>1805506</v>
      </c>
      <c r="E26" s="87">
        <v>1904162</v>
      </c>
      <c r="F26" s="87">
        <v>2663516</v>
      </c>
      <c r="G26" s="87">
        <v>757527</v>
      </c>
      <c r="H26" s="87">
        <v>4908000</v>
      </c>
      <c r="I26" s="87">
        <v>4119000</v>
      </c>
    </row>
    <row r="27" spans="1:9" ht="14.5" customHeight="1" x14ac:dyDescent="0.35">
      <c r="A27" s="12"/>
      <c r="B27" s="73" t="s">
        <v>29</v>
      </c>
      <c r="C27" s="13"/>
      <c r="D27" s="87">
        <v>2151060</v>
      </c>
      <c r="E27" s="87">
        <v>1470443</v>
      </c>
      <c r="F27" s="87">
        <v>390194</v>
      </c>
      <c r="G27" s="87">
        <v>35500</v>
      </c>
      <c r="H27" s="87">
        <v>3245000</v>
      </c>
      <c r="I27" s="87">
        <v>57000</v>
      </c>
    </row>
    <row r="28" spans="1:9" ht="14.5" customHeight="1" x14ac:dyDescent="0.35">
      <c r="A28" s="12"/>
      <c r="B28" s="73" t="s">
        <v>30</v>
      </c>
      <c r="C28" s="13"/>
      <c r="D28" s="90"/>
      <c r="E28" s="90"/>
      <c r="F28" s="90"/>
      <c r="G28" s="90"/>
      <c r="H28" s="90"/>
      <c r="I28" s="87">
        <v>26406000</v>
      </c>
    </row>
    <row r="29" spans="1:9" ht="14.5" customHeight="1" x14ac:dyDescent="0.35">
      <c r="A29" s="12"/>
      <c r="B29" s="14"/>
      <c r="C29" s="14"/>
      <c r="D29" s="7"/>
      <c r="E29" s="7"/>
      <c r="F29" s="7"/>
      <c r="G29" s="7"/>
      <c r="H29" s="7"/>
      <c r="I29" s="88"/>
    </row>
    <row r="30" spans="1:9" ht="14.5" customHeight="1" x14ac:dyDescent="0.35">
      <c r="A30" s="12"/>
      <c r="B30" s="73" t="s">
        <v>31</v>
      </c>
      <c r="C30" s="13"/>
      <c r="D30" s="87">
        <v>11613</v>
      </c>
      <c r="E30" s="87">
        <v>11402</v>
      </c>
      <c r="F30" s="87">
        <v>663592</v>
      </c>
      <c r="G30" s="87">
        <v>946685</v>
      </c>
      <c r="H30" s="89">
        <v>530000</v>
      </c>
      <c r="I30" s="87">
        <v>530000</v>
      </c>
    </row>
    <row r="31" spans="1:9" ht="14.5" customHeight="1" x14ac:dyDescent="0.35">
      <c r="A31" s="12"/>
      <c r="B31" s="73" t="s">
        <v>32</v>
      </c>
      <c r="C31" s="13"/>
      <c r="D31" s="87">
        <v>0</v>
      </c>
      <c r="E31" s="87">
        <v>0</v>
      </c>
      <c r="F31" s="87">
        <v>300000</v>
      </c>
      <c r="G31" s="87">
        <v>0</v>
      </c>
      <c r="H31" s="89">
        <v>0</v>
      </c>
      <c r="I31" s="87">
        <v>0</v>
      </c>
    </row>
    <row r="32" spans="1:9" ht="14.5" customHeight="1" x14ac:dyDescent="0.35">
      <c r="A32" s="12"/>
      <c r="B32" s="73" t="s">
        <v>33</v>
      </c>
      <c r="C32" s="13"/>
      <c r="D32" s="87">
        <v>8211</v>
      </c>
      <c r="E32" s="87">
        <v>8211</v>
      </c>
      <c r="F32" s="87">
        <v>8211</v>
      </c>
      <c r="G32" s="87">
        <v>8211</v>
      </c>
      <c r="H32" s="89">
        <v>8000</v>
      </c>
      <c r="I32" s="87">
        <v>8000</v>
      </c>
    </row>
    <row r="33" spans="1:9" ht="14.5" customHeight="1" x14ac:dyDescent="0.35">
      <c r="A33" s="12"/>
      <c r="B33" s="73" t="s">
        <v>34</v>
      </c>
      <c r="C33" s="13"/>
      <c r="D33" s="87">
        <v>0</v>
      </c>
      <c r="E33" s="87">
        <v>0</v>
      </c>
      <c r="F33" s="87">
        <v>0</v>
      </c>
      <c r="G33" s="87">
        <v>0</v>
      </c>
      <c r="H33" s="89">
        <v>0</v>
      </c>
      <c r="I33" s="87">
        <v>0</v>
      </c>
    </row>
    <row r="34" spans="1:9" ht="14.5" customHeight="1" x14ac:dyDescent="0.35">
      <c r="A34" s="12"/>
      <c r="B34" s="73" t="s">
        <v>35</v>
      </c>
      <c r="C34" s="13"/>
      <c r="D34" s="87">
        <v>0</v>
      </c>
      <c r="E34" s="87">
        <v>0</v>
      </c>
      <c r="F34" s="87">
        <v>0</v>
      </c>
      <c r="G34" s="87">
        <v>0</v>
      </c>
      <c r="H34" s="89">
        <v>0</v>
      </c>
      <c r="I34" s="87">
        <v>0</v>
      </c>
    </row>
    <row r="35" spans="1:9" ht="14.5" customHeight="1" x14ac:dyDescent="0.35">
      <c r="A35" s="12"/>
      <c r="B35" s="73" t="s">
        <v>36</v>
      </c>
      <c r="C35" s="13"/>
      <c r="D35" s="87">
        <v>0</v>
      </c>
      <c r="E35" s="87">
        <v>0</v>
      </c>
      <c r="F35" s="87">
        <v>0</v>
      </c>
      <c r="G35" s="87">
        <v>0</v>
      </c>
      <c r="H35" s="89">
        <v>0</v>
      </c>
      <c r="I35" s="87">
        <v>0</v>
      </c>
    </row>
    <row r="36" spans="1:9" ht="14.5" customHeight="1" x14ac:dyDescent="0.35">
      <c r="A36" s="12"/>
      <c r="B36" s="73" t="s">
        <v>37</v>
      </c>
      <c r="C36" s="13"/>
      <c r="D36" s="87">
        <v>0</v>
      </c>
      <c r="E36" s="87">
        <v>0</v>
      </c>
      <c r="F36" s="87">
        <v>0</v>
      </c>
      <c r="G36" s="87">
        <v>0</v>
      </c>
      <c r="H36" s="89">
        <v>0</v>
      </c>
      <c r="I36" s="87">
        <v>0</v>
      </c>
    </row>
    <row r="37" spans="1:9" ht="14.5" customHeight="1" x14ac:dyDescent="0.35">
      <c r="A37" s="12"/>
      <c r="B37" s="73" t="s">
        <v>38</v>
      </c>
      <c r="C37" s="13"/>
      <c r="D37" s="87">
        <v>8211</v>
      </c>
      <c r="E37" s="87">
        <v>8211</v>
      </c>
      <c r="F37" s="87">
        <v>8211</v>
      </c>
      <c r="G37" s="87">
        <v>8211</v>
      </c>
      <c r="H37" s="87">
        <v>8000</v>
      </c>
      <c r="I37" s="87">
        <v>8000</v>
      </c>
    </row>
    <row r="38" spans="1:9" ht="14.5" customHeight="1" x14ac:dyDescent="0.35">
      <c r="A38" s="12"/>
      <c r="B38" s="73" t="s">
        <v>39</v>
      </c>
      <c r="C38" s="13"/>
      <c r="D38" s="89">
        <v>0</v>
      </c>
      <c r="E38" s="89">
        <v>0</v>
      </c>
      <c r="F38" s="89">
        <v>300000</v>
      </c>
      <c r="G38" s="89">
        <v>300000</v>
      </c>
      <c r="H38" s="89">
        <v>522000</v>
      </c>
      <c r="I38" s="87">
        <v>522000</v>
      </c>
    </row>
    <row r="39" spans="1:9" ht="14.5" customHeight="1" x14ac:dyDescent="0.35">
      <c r="A39" s="12"/>
      <c r="B39" s="73" t="s">
        <v>40</v>
      </c>
      <c r="C39" s="13"/>
      <c r="D39" s="89">
        <v>0</v>
      </c>
      <c r="E39" s="89">
        <v>0</v>
      </c>
      <c r="F39" s="89">
        <v>0</v>
      </c>
      <c r="G39" s="89">
        <v>0</v>
      </c>
      <c r="H39" s="89">
        <v>0</v>
      </c>
      <c r="I39" s="87">
        <v>0</v>
      </c>
    </row>
    <row r="40" spans="1:9" ht="14.5" customHeight="1" x14ac:dyDescent="0.35">
      <c r="A40" s="12"/>
      <c r="B40" s="73" t="s">
        <v>41</v>
      </c>
      <c r="C40" s="13"/>
      <c r="D40" s="89">
        <v>0</v>
      </c>
      <c r="E40" s="89">
        <v>0</v>
      </c>
      <c r="F40" s="89">
        <v>0</v>
      </c>
      <c r="G40" s="89">
        <v>0</v>
      </c>
      <c r="H40" s="89">
        <v>0</v>
      </c>
      <c r="I40" s="87">
        <v>0</v>
      </c>
    </row>
    <row r="41" spans="1:9" ht="14.5" customHeight="1" x14ac:dyDescent="0.35">
      <c r="A41" s="12"/>
      <c r="B41" s="73" t="s">
        <v>42</v>
      </c>
      <c r="C41" s="13"/>
      <c r="D41" s="89">
        <v>0</v>
      </c>
      <c r="E41" s="89">
        <v>0</v>
      </c>
      <c r="F41" s="89">
        <v>0</v>
      </c>
      <c r="G41" s="89">
        <v>0</v>
      </c>
      <c r="H41" s="89">
        <v>0</v>
      </c>
      <c r="I41" s="87">
        <v>0</v>
      </c>
    </row>
    <row r="42" spans="1:9" ht="14.5" customHeight="1" x14ac:dyDescent="0.35">
      <c r="A42" s="12"/>
      <c r="B42" s="73" t="s">
        <v>43</v>
      </c>
      <c r="C42" s="13"/>
      <c r="D42" s="89">
        <v>0</v>
      </c>
      <c r="E42" s="89">
        <v>0</v>
      </c>
      <c r="F42" s="89">
        <v>0</v>
      </c>
      <c r="G42" s="89">
        <v>0</v>
      </c>
      <c r="H42" s="89">
        <v>0</v>
      </c>
      <c r="I42" s="87">
        <v>0</v>
      </c>
    </row>
    <row r="43" spans="1:9" ht="14.5" customHeight="1" x14ac:dyDescent="0.35">
      <c r="A43" s="12"/>
      <c r="B43" s="73" t="s">
        <v>44</v>
      </c>
      <c r="C43" s="13"/>
      <c r="D43" s="89">
        <v>0</v>
      </c>
      <c r="E43" s="89">
        <v>0</v>
      </c>
      <c r="F43" s="89">
        <v>300000</v>
      </c>
      <c r="G43" s="89">
        <v>0</v>
      </c>
      <c r="H43" s="89">
        <v>0</v>
      </c>
      <c r="I43" s="87">
        <v>0</v>
      </c>
    </row>
    <row r="44" spans="1:9" ht="14.5" customHeight="1" x14ac:dyDescent="0.35">
      <c r="A44" s="12"/>
      <c r="B44" s="73" t="s">
        <v>45</v>
      </c>
      <c r="C44" s="13"/>
      <c r="D44" s="87">
        <v>0</v>
      </c>
      <c r="E44" s="87">
        <v>0</v>
      </c>
      <c r="F44" s="87">
        <v>0</v>
      </c>
      <c r="G44" s="87">
        <v>300000</v>
      </c>
      <c r="H44" s="89">
        <v>425000</v>
      </c>
      <c r="I44" s="87">
        <v>425000</v>
      </c>
    </row>
    <row r="45" spans="1:9" ht="14.5" customHeight="1" x14ac:dyDescent="0.35">
      <c r="A45" s="12"/>
      <c r="B45" s="73" t="s">
        <v>46</v>
      </c>
      <c r="C45" s="13"/>
      <c r="D45" s="87">
        <v>0</v>
      </c>
      <c r="E45" s="87">
        <v>0</v>
      </c>
      <c r="F45" s="87">
        <v>0</v>
      </c>
      <c r="G45" s="87">
        <v>0</v>
      </c>
      <c r="H45" s="89">
        <v>0</v>
      </c>
      <c r="I45" s="87">
        <v>0</v>
      </c>
    </row>
    <row r="46" spans="1:9" ht="14.5" customHeight="1" x14ac:dyDescent="0.35">
      <c r="A46" s="12"/>
      <c r="B46" s="73" t="s">
        <v>47</v>
      </c>
      <c r="C46" s="13"/>
      <c r="D46" s="87">
        <v>0</v>
      </c>
      <c r="E46" s="87">
        <v>0</v>
      </c>
      <c r="F46" s="87">
        <v>0</v>
      </c>
      <c r="G46" s="87">
        <v>0</v>
      </c>
      <c r="H46" s="89">
        <v>0</v>
      </c>
      <c r="I46" s="87">
        <v>0</v>
      </c>
    </row>
    <row r="47" spans="1:9" ht="14.5" customHeight="1" x14ac:dyDescent="0.35">
      <c r="A47" s="12"/>
      <c r="B47" s="73" t="s">
        <v>48</v>
      </c>
      <c r="C47" s="13"/>
      <c r="D47" s="87">
        <v>0</v>
      </c>
      <c r="E47" s="87">
        <v>0</v>
      </c>
      <c r="F47" s="87">
        <v>0</v>
      </c>
      <c r="G47" s="87">
        <v>0</v>
      </c>
      <c r="H47" s="89">
        <v>0</v>
      </c>
      <c r="I47" s="87">
        <v>0</v>
      </c>
    </row>
    <row r="48" spans="1:9" ht="14.5" customHeight="1" x14ac:dyDescent="0.35">
      <c r="A48" s="12"/>
      <c r="B48" s="73" t="s">
        <v>49</v>
      </c>
      <c r="C48" s="13"/>
      <c r="D48" s="87">
        <v>0</v>
      </c>
      <c r="E48" s="87">
        <v>0</v>
      </c>
      <c r="F48" s="87">
        <v>0</v>
      </c>
      <c r="G48" s="87">
        <v>0</v>
      </c>
      <c r="H48" s="89">
        <v>97000</v>
      </c>
      <c r="I48" s="87">
        <v>97000</v>
      </c>
    </row>
    <row r="49" spans="1:9" ht="14.5" customHeight="1" x14ac:dyDescent="0.35">
      <c r="A49" s="12"/>
      <c r="B49" s="73" t="s">
        <v>50</v>
      </c>
      <c r="C49" s="13"/>
      <c r="D49" s="87">
        <v>0</v>
      </c>
      <c r="E49" s="87">
        <v>0</v>
      </c>
      <c r="F49" s="87">
        <v>300000</v>
      </c>
      <c r="G49" s="87">
        <v>0</v>
      </c>
      <c r="H49" s="89">
        <v>0</v>
      </c>
      <c r="I49" s="87">
        <v>0</v>
      </c>
    </row>
    <row r="50" spans="1:9" ht="14.5" customHeight="1" x14ac:dyDescent="0.35">
      <c r="A50" s="12"/>
      <c r="B50" s="73" t="s">
        <v>51</v>
      </c>
      <c r="C50" s="13"/>
      <c r="D50" s="87">
        <v>0</v>
      </c>
      <c r="E50" s="87">
        <v>0</v>
      </c>
      <c r="F50" s="87">
        <v>0</v>
      </c>
      <c r="G50" s="87">
        <v>300000</v>
      </c>
      <c r="H50" s="89">
        <v>522000</v>
      </c>
      <c r="I50" s="87">
        <v>522000</v>
      </c>
    </row>
    <row r="51" spans="1:9" ht="14.5" customHeight="1" x14ac:dyDescent="0.35">
      <c r="A51" s="12"/>
      <c r="B51" s="73" t="s">
        <v>52</v>
      </c>
      <c r="C51" s="13"/>
      <c r="D51" s="87">
        <v>0</v>
      </c>
      <c r="E51" s="87">
        <v>0</v>
      </c>
      <c r="F51" s="87">
        <v>0</v>
      </c>
      <c r="G51" s="87">
        <v>0</v>
      </c>
      <c r="H51" s="89">
        <v>0</v>
      </c>
      <c r="I51" s="87">
        <v>0</v>
      </c>
    </row>
    <row r="52" spans="1:9" ht="14.5" customHeight="1" x14ac:dyDescent="0.35">
      <c r="A52" s="12"/>
      <c r="B52" s="73" t="s">
        <v>53</v>
      </c>
      <c r="C52" s="13"/>
      <c r="D52" s="87">
        <v>0</v>
      </c>
      <c r="E52" s="87">
        <v>0</v>
      </c>
      <c r="F52" s="87">
        <v>0</v>
      </c>
      <c r="G52" s="87">
        <v>0</v>
      </c>
      <c r="H52" s="89">
        <v>0</v>
      </c>
      <c r="I52" s="87">
        <v>0</v>
      </c>
    </row>
    <row r="53" spans="1:9" ht="14.5" customHeight="1" x14ac:dyDescent="0.35">
      <c r="A53" s="12"/>
      <c r="B53" s="73" t="s">
        <v>54</v>
      </c>
      <c r="C53" s="13"/>
      <c r="D53" s="87">
        <v>3402</v>
      </c>
      <c r="E53" s="87">
        <v>3191</v>
      </c>
      <c r="F53" s="87">
        <v>355381</v>
      </c>
      <c r="G53" s="87">
        <v>638474</v>
      </c>
      <c r="H53" s="87">
        <v>0</v>
      </c>
      <c r="I53" s="87">
        <v>0</v>
      </c>
    </row>
    <row r="54" spans="1:9" ht="14.5" customHeight="1" x14ac:dyDescent="0.35">
      <c r="A54" s="12"/>
      <c r="B54" s="73" t="s">
        <v>55</v>
      </c>
      <c r="C54" s="13"/>
      <c r="D54" s="87">
        <v>0</v>
      </c>
      <c r="E54" s="87">
        <v>0</v>
      </c>
      <c r="F54" s="87">
        <v>0</v>
      </c>
      <c r="G54" s="87">
        <v>0</v>
      </c>
      <c r="H54" s="89">
        <v>0</v>
      </c>
      <c r="I54" s="87">
        <v>0</v>
      </c>
    </row>
    <row r="55" spans="1:9" ht="14.5" customHeight="1" x14ac:dyDescent="0.35">
      <c r="A55" s="12"/>
      <c r="B55" s="14"/>
      <c r="C55" s="14"/>
      <c r="D55" s="7"/>
      <c r="E55" s="7"/>
      <c r="F55" s="7"/>
      <c r="G55" s="7"/>
      <c r="H55" s="7"/>
      <c r="I55" s="88"/>
    </row>
    <row r="56" spans="1:9" ht="14.5" customHeight="1" x14ac:dyDescent="0.35">
      <c r="A56" s="12"/>
      <c r="B56" s="73" t="s">
        <v>56</v>
      </c>
      <c r="C56" s="13"/>
      <c r="D56" s="87">
        <v>26841907</v>
      </c>
      <c r="E56" s="87">
        <v>28206960</v>
      </c>
      <c r="F56" s="87">
        <v>22624997</v>
      </c>
      <c r="G56" s="87">
        <v>29753479</v>
      </c>
      <c r="H56" s="89">
        <v>36419000</v>
      </c>
      <c r="I56" s="87">
        <v>38291000</v>
      </c>
    </row>
    <row r="57" spans="1:9" ht="14.5" customHeight="1" x14ac:dyDescent="0.35">
      <c r="A57" s="12"/>
      <c r="B57" s="73" t="s">
        <v>57</v>
      </c>
      <c r="C57" s="13"/>
      <c r="D57" s="89">
        <v>8575087</v>
      </c>
      <c r="E57" s="89">
        <v>9881859</v>
      </c>
      <c r="F57" s="89">
        <v>7366247</v>
      </c>
      <c r="G57" s="89">
        <v>10275442</v>
      </c>
      <c r="H57" s="89">
        <v>14825000</v>
      </c>
      <c r="I57" s="87">
        <v>13815000</v>
      </c>
    </row>
    <row r="58" spans="1:9" ht="14.5" customHeight="1" x14ac:dyDescent="0.35">
      <c r="A58" s="12"/>
      <c r="B58" s="73" t="s">
        <v>58</v>
      </c>
      <c r="C58" s="13"/>
      <c r="D58" s="89">
        <v>4694384</v>
      </c>
      <c r="E58" s="89">
        <v>5707653</v>
      </c>
      <c r="F58" s="89">
        <v>3350235</v>
      </c>
      <c r="G58" s="89">
        <v>4248982</v>
      </c>
      <c r="H58" s="89">
        <v>6617000</v>
      </c>
      <c r="I58" s="87">
        <v>8154000</v>
      </c>
    </row>
    <row r="59" spans="1:9" ht="14.5" customHeight="1" x14ac:dyDescent="0.35">
      <c r="A59" s="12"/>
      <c r="B59" s="73" t="s">
        <v>59</v>
      </c>
      <c r="C59" s="13"/>
      <c r="D59" s="89">
        <v>0</v>
      </c>
      <c r="E59" s="89">
        <v>0</v>
      </c>
      <c r="F59" s="89">
        <v>2866</v>
      </c>
      <c r="G59" s="89">
        <v>0</v>
      </c>
      <c r="H59" s="89">
        <v>0</v>
      </c>
      <c r="I59" s="87">
        <v>0</v>
      </c>
    </row>
    <row r="60" spans="1:9" ht="14.5" customHeight="1" x14ac:dyDescent="0.35">
      <c r="A60" s="12"/>
      <c r="B60" s="73" t="s">
        <v>60</v>
      </c>
      <c r="C60" s="13"/>
      <c r="D60" s="87">
        <v>0</v>
      </c>
      <c r="E60" s="87">
        <v>0</v>
      </c>
      <c r="F60" s="87">
        <v>0</v>
      </c>
      <c r="G60" s="87">
        <v>0</v>
      </c>
      <c r="H60" s="89">
        <v>0</v>
      </c>
      <c r="I60" s="87">
        <v>0</v>
      </c>
    </row>
    <row r="61" spans="1:9" ht="14.5" customHeight="1" x14ac:dyDescent="0.35">
      <c r="A61" s="12"/>
      <c r="B61" s="73" t="s">
        <v>61</v>
      </c>
      <c r="C61" s="13"/>
      <c r="D61" s="87">
        <v>3880703</v>
      </c>
      <c r="E61" s="87">
        <v>4174206</v>
      </c>
      <c r="F61" s="87">
        <v>4013146</v>
      </c>
      <c r="G61" s="87">
        <v>6026460</v>
      </c>
      <c r="H61" s="89">
        <v>8208000</v>
      </c>
      <c r="I61" s="87">
        <v>5661000</v>
      </c>
    </row>
    <row r="62" spans="1:9" ht="14.5" customHeight="1" x14ac:dyDescent="0.35">
      <c r="A62" s="12"/>
      <c r="B62" s="73" t="s">
        <v>62</v>
      </c>
      <c r="C62" s="13"/>
      <c r="D62" s="87">
        <v>0</v>
      </c>
      <c r="E62" s="87">
        <v>0</v>
      </c>
      <c r="F62" s="87">
        <v>0</v>
      </c>
      <c r="G62" s="87">
        <v>0</v>
      </c>
      <c r="H62" s="89">
        <v>0</v>
      </c>
      <c r="I62" s="87">
        <v>0</v>
      </c>
    </row>
    <row r="63" spans="1:9" ht="14.5" customHeight="1" x14ac:dyDescent="0.35">
      <c r="A63" s="12"/>
      <c r="B63" s="73" t="s">
        <v>63</v>
      </c>
      <c r="C63" s="13"/>
      <c r="D63" s="87">
        <v>0</v>
      </c>
      <c r="E63" s="87">
        <v>0</v>
      </c>
      <c r="F63" s="87">
        <v>0</v>
      </c>
      <c r="G63" s="87">
        <v>0</v>
      </c>
      <c r="H63" s="89">
        <v>0</v>
      </c>
      <c r="I63" s="87">
        <v>0</v>
      </c>
    </row>
    <row r="64" spans="1:9" ht="14.5" customHeight="1" x14ac:dyDescent="0.35">
      <c r="A64" s="12"/>
      <c r="B64" s="14"/>
      <c r="C64" s="14"/>
      <c r="D64" s="7"/>
      <c r="E64" s="7"/>
      <c r="F64" s="7"/>
      <c r="G64" s="7"/>
      <c r="H64" s="7"/>
      <c r="I64" s="88"/>
    </row>
    <row r="65" spans="1:9" ht="14.5" customHeight="1" x14ac:dyDescent="0.35">
      <c r="A65" s="12"/>
      <c r="B65" s="73" t="s">
        <v>64</v>
      </c>
      <c r="C65" s="13"/>
      <c r="D65" s="87">
        <v>12619058</v>
      </c>
      <c r="E65" s="87">
        <v>13228226</v>
      </c>
      <c r="F65" s="87">
        <v>14109184</v>
      </c>
      <c r="G65" s="87">
        <v>17029308</v>
      </c>
      <c r="H65" s="89">
        <v>18596000</v>
      </c>
      <c r="I65" s="87">
        <v>19210000</v>
      </c>
    </row>
    <row r="66" spans="1:9" ht="14.5" customHeight="1" x14ac:dyDescent="0.35">
      <c r="A66" s="12"/>
      <c r="B66" s="74" t="s">
        <v>65</v>
      </c>
      <c r="C66" s="15"/>
      <c r="D66" s="91">
        <v>11636113</v>
      </c>
      <c r="E66" s="91">
        <v>11845139</v>
      </c>
      <c r="F66" s="91">
        <v>11539482</v>
      </c>
      <c r="G66" s="91">
        <v>14569480</v>
      </c>
      <c r="H66" s="92">
        <v>15772000</v>
      </c>
      <c r="I66" s="91">
        <v>15260000</v>
      </c>
    </row>
    <row r="67" spans="1:9" ht="14.5" customHeight="1" x14ac:dyDescent="0.35">
      <c r="A67" s="12"/>
      <c r="B67" s="74" t="s">
        <v>66</v>
      </c>
      <c r="C67" s="15"/>
      <c r="D67" s="91">
        <v>0</v>
      </c>
      <c r="E67" s="91">
        <v>0</v>
      </c>
      <c r="F67" s="91">
        <v>13767</v>
      </c>
      <c r="G67" s="91">
        <v>13768</v>
      </c>
      <c r="H67" s="92">
        <v>0</v>
      </c>
      <c r="I67" s="91">
        <v>0</v>
      </c>
    </row>
    <row r="68" spans="1:9" ht="14.5" customHeight="1" x14ac:dyDescent="0.35">
      <c r="A68" s="12"/>
      <c r="B68" s="74" t="s">
        <v>67</v>
      </c>
      <c r="C68" s="15"/>
      <c r="D68" s="91">
        <v>0</v>
      </c>
      <c r="E68" s="91">
        <v>0</v>
      </c>
      <c r="F68" s="91">
        <v>0</v>
      </c>
      <c r="G68" s="91">
        <v>0</v>
      </c>
      <c r="H68" s="92">
        <v>0</v>
      </c>
      <c r="I68" s="91">
        <v>0</v>
      </c>
    </row>
    <row r="69" spans="1:9" ht="14.5" customHeight="1" x14ac:dyDescent="0.35">
      <c r="A69" s="12"/>
      <c r="B69" s="74" t="s">
        <v>68</v>
      </c>
      <c r="C69" s="15"/>
      <c r="D69" s="91">
        <v>0</v>
      </c>
      <c r="E69" s="91">
        <v>0</v>
      </c>
      <c r="F69" s="91">
        <v>0</v>
      </c>
      <c r="G69" s="91">
        <v>0</v>
      </c>
      <c r="H69" s="92">
        <v>0</v>
      </c>
      <c r="I69" s="91">
        <v>0</v>
      </c>
    </row>
    <row r="70" spans="1:9" ht="14.5" customHeight="1" x14ac:dyDescent="0.35">
      <c r="A70" s="12"/>
      <c r="B70" s="74" t="s">
        <v>69</v>
      </c>
      <c r="C70" s="15"/>
      <c r="D70" s="91">
        <v>0</v>
      </c>
      <c r="E70" s="91">
        <v>0</v>
      </c>
      <c r="F70" s="91">
        <v>0</v>
      </c>
      <c r="G70" s="91">
        <v>0</v>
      </c>
      <c r="H70" s="92">
        <v>0</v>
      </c>
      <c r="I70" s="91">
        <v>0</v>
      </c>
    </row>
    <row r="71" spans="1:9" ht="14.5" customHeight="1" x14ac:dyDescent="0.35">
      <c r="A71" s="12"/>
      <c r="B71" s="74" t="s">
        <v>70</v>
      </c>
      <c r="C71" s="15"/>
      <c r="D71" s="92">
        <v>0</v>
      </c>
      <c r="E71" s="92">
        <v>0</v>
      </c>
      <c r="F71" s="92">
        <v>0</v>
      </c>
      <c r="G71" s="92">
        <v>0</v>
      </c>
      <c r="H71" s="92">
        <v>0</v>
      </c>
      <c r="I71" s="91">
        <v>0</v>
      </c>
    </row>
    <row r="72" spans="1:9" ht="14.5" customHeight="1" x14ac:dyDescent="0.35">
      <c r="A72" s="12"/>
      <c r="B72" s="74" t="s">
        <v>71</v>
      </c>
      <c r="C72" s="15"/>
      <c r="D72" s="92">
        <v>0</v>
      </c>
      <c r="E72" s="92">
        <v>0</v>
      </c>
      <c r="F72" s="92">
        <v>0</v>
      </c>
      <c r="G72" s="92">
        <v>0</v>
      </c>
      <c r="H72" s="92">
        <v>0</v>
      </c>
      <c r="I72" s="91">
        <v>0</v>
      </c>
    </row>
    <row r="73" spans="1:9" ht="14.5" customHeight="1" x14ac:dyDescent="0.35">
      <c r="A73" s="12"/>
      <c r="B73" s="74" t="s">
        <v>72</v>
      </c>
      <c r="C73" s="15"/>
      <c r="D73" s="92">
        <v>0</v>
      </c>
      <c r="E73" s="92">
        <v>0</v>
      </c>
      <c r="F73" s="92">
        <v>0</v>
      </c>
      <c r="G73" s="92">
        <v>0</v>
      </c>
      <c r="H73" s="92">
        <v>0</v>
      </c>
      <c r="I73" s="91">
        <v>0</v>
      </c>
    </row>
    <row r="74" spans="1:9" ht="14.5" customHeight="1" x14ac:dyDescent="0.35">
      <c r="A74" s="12"/>
      <c r="B74" s="74" t="s">
        <v>73</v>
      </c>
      <c r="C74" s="15"/>
      <c r="D74" s="91">
        <v>0</v>
      </c>
      <c r="E74" s="91">
        <v>0</v>
      </c>
      <c r="F74" s="91">
        <v>0</v>
      </c>
      <c r="G74" s="91">
        <v>0</v>
      </c>
      <c r="H74" s="91">
        <v>0</v>
      </c>
      <c r="I74" s="91">
        <v>0</v>
      </c>
    </row>
    <row r="75" spans="1:9" ht="14.5" customHeight="1" x14ac:dyDescent="0.35">
      <c r="A75" s="12"/>
      <c r="B75" s="74" t="s">
        <v>74</v>
      </c>
      <c r="C75" s="15"/>
      <c r="D75" s="91">
        <v>0</v>
      </c>
      <c r="E75" s="91">
        <v>0</v>
      </c>
      <c r="F75" s="91">
        <v>0</v>
      </c>
      <c r="G75" s="91">
        <v>0</v>
      </c>
      <c r="H75" s="91">
        <v>0</v>
      </c>
      <c r="I75" s="91">
        <v>0</v>
      </c>
    </row>
    <row r="76" spans="1:9" ht="14.5" customHeight="1" x14ac:dyDescent="0.35">
      <c r="A76" s="12"/>
      <c r="B76" s="74" t="s">
        <v>75</v>
      </c>
      <c r="C76" s="15"/>
      <c r="D76" s="91">
        <v>626609</v>
      </c>
      <c r="E76" s="91">
        <v>1072093</v>
      </c>
      <c r="F76" s="91">
        <v>688458</v>
      </c>
      <c r="G76" s="91">
        <v>378187</v>
      </c>
      <c r="H76" s="91">
        <v>669000</v>
      </c>
      <c r="I76" s="91">
        <v>612000</v>
      </c>
    </row>
    <row r="77" spans="1:9" ht="14.5" customHeight="1" x14ac:dyDescent="0.35">
      <c r="A77" s="12"/>
      <c r="B77" s="74" t="s">
        <v>76</v>
      </c>
      <c r="C77" s="15"/>
      <c r="D77" s="91">
        <v>70476</v>
      </c>
      <c r="E77" s="91">
        <v>69183</v>
      </c>
      <c r="F77" s="91">
        <v>217350</v>
      </c>
      <c r="G77" s="91">
        <v>217350</v>
      </c>
      <c r="H77" s="91">
        <v>0</v>
      </c>
      <c r="I77" s="91">
        <v>0</v>
      </c>
    </row>
    <row r="78" spans="1:9" ht="14.5" customHeight="1" x14ac:dyDescent="0.35">
      <c r="A78" s="12"/>
      <c r="B78" s="74" t="s">
        <v>77</v>
      </c>
      <c r="C78" s="15"/>
      <c r="D78" s="91">
        <v>251049</v>
      </c>
      <c r="E78" s="91">
        <v>234664</v>
      </c>
      <c r="F78" s="91">
        <v>1599744</v>
      </c>
      <c r="G78" s="91">
        <v>1765856</v>
      </c>
      <c r="H78" s="91">
        <v>0</v>
      </c>
      <c r="I78" s="91">
        <v>0</v>
      </c>
    </row>
    <row r="79" spans="1:9" ht="14.5" customHeight="1" x14ac:dyDescent="0.35">
      <c r="A79" s="12"/>
      <c r="B79" s="74" t="s">
        <v>78</v>
      </c>
      <c r="C79" s="15"/>
      <c r="D79" s="91">
        <v>0</v>
      </c>
      <c r="E79" s="91">
        <v>0</v>
      </c>
      <c r="F79" s="91">
        <v>0</v>
      </c>
      <c r="G79" s="91">
        <v>0</v>
      </c>
      <c r="H79" s="91">
        <v>1923000</v>
      </c>
      <c r="I79" s="91">
        <v>2751000</v>
      </c>
    </row>
    <row r="80" spans="1:9" ht="14.5" customHeight="1" x14ac:dyDescent="0.35">
      <c r="A80" s="12"/>
      <c r="B80" s="74" t="s">
        <v>79</v>
      </c>
      <c r="C80" s="15"/>
      <c r="D80" s="91">
        <v>25084</v>
      </c>
      <c r="E80" s="91">
        <v>420</v>
      </c>
      <c r="F80" s="91">
        <v>14656</v>
      </c>
      <c r="G80" s="91">
        <v>80667</v>
      </c>
      <c r="H80" s="91">
        <v>232000</v>
      </c>
      <c r="I80" s="91">
        <v>587000</v>
      </c>
    </row>
    <row r="81" spans="1:9" ht="14.5" customHeight="1" x14ac:dyDescent="0.35">
      <c r="A81" s="12"/>
      <c r="B81" s="74" t="s">
        <v>80</v>
      </c>
      <c r="C81" s="15"/>
      <c r="D81" s="91">
        <v>9727</v>
      </c>
      <c r="E81" s="91">
        <v>6727</v>
      </c>
      <c r="F81" s="91">
        <v>35727</v>
      </c>
      <c r="G81" s="91">
        <v>4000</v>
      </c>
      <c r="H81" s="91">
        <v>0</v>
      </c>
      <c r="I81" s="91">
        <v>0</v>
      </c>
    </row>
    <row r="82" spans="1:9" ht="14.5" customHeight="1" x14ac:dyDescent="0.35">
      <c r="A82" s="12"/>
      <c r="B82" s="74" t="s">
        <v>81</v>
      </c>
      <c r="C82" s="15"/>
      <c r="D82" s="91">
        <v>12538855</v>
      </c>
      <c r="E82" s="91">
        <v>13152316</v>
      </c>
      <c r="F82" s="91">
        <v>13842340</v>
      </c>
      <c r="G82" s="91">
        <v>16794190</v>
      </c>
      <c r="H82" s="91">
        <v>16673000</v>
      </c>
      <c r="I82" s="91">
        <v>16459000</v>
      </c>
    </row>
    <row r="83" spans="1:9" ht="14.5" customHeight="1" x14ac:dyDescent="0.35">
      <c r="A83" s="12"/>
      <c r="B83" s="74" t="s">
        <v>82</v>
      </c>
      <c r="C83" s="15"/>
      <c r="D83" s="93"/>
      <c r="E83" s="93"/>
      <c r="F83" s="93"/>
      <c r="G83" s="93"/>
      <c r="H83" s="93"/>
      <c r="I83" s="93"/>
    </row>
    <row r="84" spans="1:9" ht="14.5" customHeight="1" x14ac:dyDescent="0.35">
      <c r="A84" s="12"/>
      <c r="B84" s="74" t="s">
        <v>83</v>
      </c>
      <c r="C84" s="15"/>
      <c r="D84" s="91">
        <v>80203</v>
      </c>
      <c r="E84" s="91">
        <v>75910</v>
      </c>
      <c r="F84" s="91">
        <v>266844</v>
      </c>
      <c r="G84" s="91">
        <v>235118</v>
      </c>
      <c r="H84" s="91">
        <v>1923000</v>
      </c>
      <c r="I84" s="91">
        <v>2751000</v>
      </c>
    </row>
    <row r="85" spans="1:9" ht="14.5" customHeight="1" x14ac:dyDescent="0.35">
      <c r="A85" s="12"/>
      <c r="B85" s="14"/>
      <c r="C85" s="14"/>
      <c r="D85" s="7"/>
      <c r="E85" s="7"/>
      <c r="F85" s="7"/>
      <c r="G85" s="7"/>
      <c r="H85" s="7"/>
      <c r="I85" s="88"/>
    </row>
    <row r="86" spans="1:9" s="24" customFormat="1" ht="14.5" customHeight="1" x14ac:dyDescent="0.35">
      <c r="A86" s="22"/>
      <c r="B86" s="75" t="s">
        <v>84</v>
      </c>
      <c r="C86" s="23"/>
      <c r="D86" s="87">
        <v>0</v>
      </c>
      <c r="E86" s="87">
        <v>0</v>
      </c>
      <c r="F86" s="87">
        <v>0</v>
      </c>
      <c r="G86" s="87">
        <v>0</v>
      </c>
      <c r="H86" s="87">
        <v>135000</v>
      </c>
      <c r="I86" s="87">
        <v>1960000</v>
      </c>
    </row>
    <row r="87" spans="1:9" ht="14.5" customHeight="1" x14ac:dyDescent="0.35">
      <c r="A87" s="12"/>
      <c r="B87" s="73" t="s">
        <v>85</v>
      </c>
      <c r="C87" s="13"/>
      <c r="D87" s="87">
        <v>0</v>
      </c>
      <c r="E87" s="87">
        <v>0</v>
      </c>
      <c r="F87" s="87">
        <v>0</v>
      </c>
      <c r="G87" s="87">
        <v>0</v>
      </c>
      <c r="H87" s="87">
        <v>0</v>
      </c>
      <c r="I87" s="87">
        <v>0</v>
      </c>
    </row>
    <row r="88" spans="1:9" ht="14.5" customHeight="1" x14ac:dyDescent="0.35">
      <c r="A88" s="12"/>
      <c r="B88" s="73" t="s">
        <v>86</v>
      </c>
      <c r="C88" s="13"/>
      <c r="D88" s="87">
        <v>0</v>
      </c>
      <c r="E88" s="87">
        <v>0</v>
      </c>
      <c r="F88" s="87">
        <v>0</v>
      </c>
      <c r="G88" s="87">
        <v>0</v>
      </c>
      <c r="H88" s="87">
        <v>0</v>
      </c>
      <c r="I88" s="87">
        <v>0</v>
      </c>
    </row>
    <row r="89" spans="1:9" ht="14.5" customHeight="1" x14ac:dyDescent="0.35">
      <c r="A89" s="12"/>
      <c r="B89" s="73" t="s">
        <v>87</v>
      </c>
      <c r="C89" s="13"/>
      <c r="D89" s="87">
        <v>0</v>
      </c>
      <c r="E89" s="87">
        <v>0</v>
      </c>
      <c r="F89" s="87">
        <v>0</v>
      </c>
      <c r="G89" s="87">
        <v>0</v>
      </c>
      <c r="H89" s="87">
        <v>0</v>
      </c>
      <c r="I89" s="87">
        <v>0</v>
      </c>
    </row>
    <row r="90" spans="1:9" ht="14.5" customHeight="1" x14ac:dyDescent="0.35">
      <c r="A90" s="12"/>
      <c r="B90" s="73" t="s">
        <v>88</v>
      </c>
      <c r="C90" s="13"/>
      <c r="D90" s="87">
        <v>0</v>
      </c>
      <c r="E90" s="87">
        <v>0</v>
      </c>
      <c r="F90" s="87">
        <v>0</v>
      </c>
      <c r="G90" s="87">
        <v>0</v>
      </c>
      <c r="H90" s="87">
        <v>0</v>
      </c>
      <c r="I90" s="87">
        <v>0</v>
      </c>
    </row>
    <row r="91" spans="1:9" ht="14.5" customHeight="1" x14ac:dyDescent="0.35">
      <c r="A91" s="12"/>
      <c r="B91" s="73" t="s">
        <v>89</v>
      </c>
      <c r="C91" s="13"/>
      <c r="D91" s="87">
        <v>0</v>
      </c>
      <c r="E91" s="87">
        <v>0</v>
      </c>
      <c r="F91" s="87">
        <v>0</v>
      </c>
      <c r="G91" s="87">
        <v>0</v>
      </c>
      <c r="H91" s="87">
        <v>0</v>
      </c>
      <c r="I91" s="87">
        <v>0</v>
      </c>
    </row>
    <row r="92" spans="1:9" ht="14.5" customHeight="1" x14ac:dyDescent="0.35">
      <c r="A92" s="12"/>
      <c r="B92" s="73" t="s">
        <v>90</v>
      </c>
      <c r="C92" s="13"/>
      <c r="D92" s="87">
        <v>0</v>
      </c>
      <c r="E92" s="87">
        <v>0</v>
      </c>
      <c r="F92" s="87">
        <v>0</v>
      </c>
      <c r="G92" s="87">
        <v>0</v>
      </c>
      <c r="H92" s="87">
        <v>0</v>
      </c>
      <c r="I92" s="87">
        <v>0</v>
      </c>
    </row>
    <row r="93" spans="1:9" ht="14.5" customHeight="1" x14ac:dyDescent="0.35">
      <c r="A93" s="12"/>
      <c r="B93" s="73" t="s">
        <v>55</v>
      </c>
      <c r="C93" s="13"/>
      <c r="D93" s="87">
        <v>0</v>
      </c>
      <c r="E93" s="87">
        <v>0</v>
      </c>
      <c r="F93" s="87">
        <v>0</v>
      </c>
      <c r="G93" s="87">
        <v>0</v>
      </c>
      <c r="H93" s="87">
        <v>0</v>
      </c>
      <c r="I93" s="87">
        <v>0</v>
      </c>
    </row>
    <row r="94" spans="1:9" ht="14.5" customHeight="1" x14ac:dyDescent="0.35">
      <c r="A94" s="12"/>
      <c r="B94" s="73" t="s">
        <v>91</v>
      </c>
      <c r="C94" s="13"/>
      <c r="D94" s="87">
        <v>0</v>
      </c>
      <c r="E94" s="87">
        <v>0</v>
      </c>
      <c r="F94" s="87">
        <v>0</v>
      </c>
      <c r="G94" s="87">
        <v>0</v>
      </c>
      <c r="H94" s="87">
        <v>135000</v>
      </c>
      <c r="I94" s="101">
        <v>1960000</v>
      </c>
    </row>
    <row r="95" spans="1:9" s="24" customFormat="1" ht="14.5" customHeight="1" x14ac:dyDescent="0.35">
      <c r="A95" s="22"/>
      <c r="B95" s="75" t="s">
        <v>92</v>
      </c>
      <c r="C95" s="23"/>
      <c r="D95" s="87">
        <v>0</v>
      </c>
      <c r="E95" s="87">
        <v>0</v>
      </c>
      <c r="F95" s="87">
        <v>0</v>
      </c>
      <c r="G95" s="87">
        <v>0</v>
      </c>
      <c r="H95" s="87">
        <v>0</v>
      </c>
      <c r="I95" s="87">
        <v>0</v>
      </c>
    </row>
    <row r="96" spans="1:9" ht="14.5" customHeight="1" x14ac:dyDescent="0.35">
      <c r="A96" s="12"/>
      <c r="B96" s="73" t="s">
        <v>93</v>
      </c>
      <c r="C96" s="13"/>
      <c r="D96" s="87">
        <v>0</v>
      </c>
      <c r="E96" s="87">
        <v>0</v>
      </c>
      <c r="F96" s="87">
        <v>0</v>
      </c>
      <c r="G96" s="87">
        <v>0</v>
      </c>
      <c r="H96" s="87">
        <v>0</v>
      </c>
      <c r="I96" s="87">
        <v>0</v>
      </c>
    </row>
    <row r="97" spans="1:9" ht="14.5" customHeight="1" x14ac:dyDescent="0.35">
      <c r="A97" s="12"/>
      <c r="B97" s="14"/>
      <c r="C97" s="14"/>
      <c r="D97" s="7"/>
      <c r="E97" s="7"/>
      <c r="F97" s="7"/>
      <c r="G97" s="7"/>
      <c r="H97" s="7"/>
      <c r="I97" s="88"/>
    </row>
    <row r="98" spans="1:9" ht="14.5" customHeight="1" x14ac:dyDescent="0.35">
      <c r="A98" s="12"/>
      <c r="B98" s="73" t="s">
        <v>94</v>
      </c>
      <c r="C98" s="13"/>
      <c r="D98" s="87">
        <v>5647762</v>
      </c>
      <c r="E98" s="87">
        <v>5096875</v>
      </c>
      <c r="F98" s="87">
        <v>1149566</v>
      </c>
      <c r="G98" s="87">
        <v>2448729</v>
      </c>
      <c r="H98" s="87">
        <v>2863000</v>
      </c>
      <c r="I98" s="87">
        <v>3306000</v>
      </c>
    </row>
    <row r="99" spans="1:9" ht="14.5" customHeight="1" x14ac:dyDescent="0.35">
      <c r="A99" s="12"/>
      <c r="B99" s="73" t="s">
        <v>95</v>
      </c>
      <c r="C99" s="13"/>
      <c r="D99" s="87">
        <v>5345594</v>
      </c>
      <c r="E99" s="87">
        <v>4821850</v>
      </c>
      <c r="F99" s="87">
        <v>958140</v>
      </c>
      <c r="G99" s="87">
        <v>2373315</v>
      </c>
      <c r="H99" s="87">
        <v>2805000</v>
      </c>
      <c r="I99" s="87">
        <v>2884000</v>
      </c>
    </row>
    <row r="100" spans="1:9" ht="14.5" customHeight="1" x14ac:dyDescent="0.35">
      <c r="A100" s="12"/>
      <c r="B100" s="73" t="s">
        <v>96</v>
      </c>
      <c r="C100" s="13"/>
      <c r="D100" s="87">
        <v>294548</v>
      </c>
      <c r="E100" s="87">
        <v>269281</v>
      </c>
      <c r="F100" s="87">
        <v>186505</v>
      </c>
      <c r="G100" s="87">
        <v>70434</v>
      </c>
      <c r="H100" s="87">
        <v>54000</v>
      </c>
      <c r="I100" s="87">
        <v>419000</v>
      </c>
    </row>
    <row r="101" spans="1:9" ht="14.5" customHeight="1" x14ac:dyDescent="0.35">
      <c r="A101" s="12"/>
      <c r="B101" s="73" t="s">
        <v>97</v>
      </c>
      <c r="C101" s="13"/>
      <c r="D101" s="87">
        <v>7620</v>
      </c>
      <c r="E101" s="87">
        <v>5744</v>
      </c>
      <c r="F101" s="87">
        <v>4921</v>
      </c>
      <c r="G101" s="87">
        <v>4980</v>
      </c>
      <c r="H101" s="87">
        <v>4000</v>
      </c>
      <c r="I101" s="87">
        <v>3000</v>
      </c>
    </row>
    <row r="102" spans="1:9" ht="14.5" customHeight="1" x14ac:dyDescent="0.35">
      <c r="A102" s="12"/>
      <c r="B102" s="14"/>
      <c r="C102" s="14"/>
      <c r="D102" s="7"/>
      <c r="E102" s="7"/>
      <c r="F102" s="7"/>
      <c r="G102" s="7"/>
      <c r="H102" s="7"/>
      <c r="I102" s="88"/>
    </row>
    <row r="103" spans="1:9" ht="14.5" customHeight="1" x14ac:dyDescent="0.35">
      <c r="A103" s="12"/>
      <c r="B103" s="73" t="s">
        <v>98</v>
      </c>
      <c r="C103" s="13"/>
      <c r="D103" s="87">
        <v>432260</v>
      </c>
      <c r="E103" s="87">
        <v>925138</v>
      </c>
      <c r="F103" s="87">
        <v>265791</v>
      </c>
      <c r="G103" s="87">
        <v>292774</v>
      </c>
      <c r="H103" s="87">
        <v>329000</v>
      </c>
      <c r="I103" s="87">
        <v>454000</v>
      </c>
    </row>
    <row r="104" spans="1:9" ht="14.5" customHeight="1" x14ac:dyDescent="0.35">
      <c r="A104" s="12"/>
      <c r="B104" s="73" t="s">
        <v>99</v>
      </c>
      <c r="C104" s="13"/>
      <c r="D104" s="90"/>
      <c r="E104" s="90"/>
      <c r="F104" s="90"/>
      <c r="G104" s="90"/>
      <c r="H104" s="90"/>
      <c r="I104" s="90"/>
    </row>
    <row r="105" spans="1:9" ht="14.5" customHeight="1" x14ac:dyDescent="0.35">
      <c r="A105" s="12"/>
      <c r="B105" s="14"/>
      <c r="C105" s="14"/>
      <c r="D105" s="7"/>
      <c r="E105" s="7"/>
      <c r="F105" s="7"/>
      <c r="G105" s="7"/>
      <c r="H105" s="7"/>
      <c r="I105" s="88"/>
    </row>
    <row r="106" spans="1:9" ht="14.5" customHeight="1" x14ac:dyDescent="0.35">
      <c r="A106" s="12"/>
      <c r="B106" s="73" t="s">
        <v>100</v>
      </c>
      <c r="C106" s="13"/>
      <c r="D106" s="87">
        <v>53307975</v>
      </c>
      <c r="E106" s="87">
        <v>70256764</v>
      </c>
      <c r="F106" s="87">
        <v>138544722</v>
      </c>
      <c r="G106" s="87">
        <v>137025190</v>
      </c>
      <c r="H106" s="87">
        <v>151825000</v>
      </c>
      <c r="I106" s="87">
        <v>153136000</v>
      </c>
    </row>
    <row r="107" spans="1:9" ht="14.5" customHeight="1" x14ac:dyDescent="0.35">
      <c r="A107" s="12"/>
      <c r="B107" s="14"/>
      <c r="C107" s="14"/>
      <c r="D107" s="7"/>
      <c r="E107" s="7"/>
      <c r="F107" s="7"/>
      <c r="G107" s="7"/>
      <c r="H107" s="7"/>
      <c r="I107" s="88"/>
    </row>
    <row r="108" spans="1:9" ht="14.5" customHeight="1" x14ac:dyDescent="0.35">
      <c r="A108" s="9"/>
      <c r="B108" s="71" t="s">
        <v>101</v>
      </c>
      <c r="C108" s="10"/>
      <c r="D108" s="11"/>
      <c r="E108" s="11"/>
      <c r="F108" s="11"/>
      <c r="G108" s="11"/>
      <c r="H108" s="11"/>
      <c r="I108" s="94"/>
    </row>
    <row r="109" spans="1:9" ht="14.5" customHeight="1" x14ac:dyDescent="0.35">
      <c r="A109" s="12"/>
      <c r="B109" s="14"/>
      <c r="C109" s="14"/>
      <c r="D109" s="7"/>
      <c r="E109" s="7"/>
      <c r="F109" s="7"/>
      <c r="G109" s="7"/>
      <c r="H109" s="7"/>
      <c r="I109" s="88"/>
    </row>
    <row r="110" spans="1:9" ht="14.5" customHeight="1" x14ac:dyDescent="0.35">
      <c r="A110" s="16"/>
      <c r="B110" s="76" t="s">
        <v>102</v>
      </c>
      <c r="C110" s="17"/>
      <c r="D110" s="18"/>
      <c r="E110" s="18"/>
      <c r="F110" s="18"/>
      <c r="G110" s="18"/>
      <c r="H110" s="18"/>
      <c r="I110" s="95"/>
    </row>
    <row r="111" spans="1:9" ht="14.5" customHeight="1" x14ac:dyDescent="0.35">
      <c r="A111" s="12"/>
      <c r="B111" s="14"/>
      <c r="C111" s="14"/>
      <c r="D111" s="7"/>
      <c r="E111" s="7"/>
      <c r="F111" s="7"/>
      <c r="G111" s="7"/>
      <c r="H111" s="7"/>
      <c r="I111" s="88"/>
    </row>
    <row r="112" spans="1:9" ht="14.5" customHeight="1" x14ac:dyDescent="0.35">
      <c r="A112" s="12"/>
      <c r="B112" s="73" t="s">
        <v>103</v>
      </c>
      <c r="C112" s="13"/>
      <c r="D112" s="87">
        <v>10050591</v>
      </c>
      <c r="E112" s="87">
        <v>11652299</v>
      </c>
      <c r="F112" s="87">
        <v>48944981</v>
      </c>
      <c r="G112" s="87">
        <v>39430475</v>
      </c>
      <c r="H112" s="87">
        <v>46076000</v>
      </c>
      <c r="I112" s="87">
        <v>47589000</v>
      </c>
    </row>
    <row r="113" spans="1:9" ht="14.5" customHeight="1" x14ac:dyDescent="0.35">
      <c r="A113" s="12"/>
      <c r="B113" s="73" t="s">
        <v>104</v>
      </c>
      <c r="C113" s="13"/>
      <c r="D113" s="87">
        <v>1949480</v>
      </c>
      <c r="E113" s="87">
        <v>1949480</v>
      </c>
      <c r="F113" s="87">
        <v>1949480</v>
      </c>
      <c r="G113" s="87">
        <v>1949480</v>
      </c>
      <c r="H113" s="87">
        <v>1949000</v>
      </c>
      <c r="I113" s="87">
        <v>1949000</v>
      </c>
    </row>
    <row r="114" spans="1:9" ht="14.5" customHeight="1" x14ac:dyDescent="0.35">
      <c r="A114" s="12"/>
      <c r="B114" s="73" t="s">
        <v>105</v>
      </c>
      <c r="C114" s="13"/>
      <c r="D114" s="87">
        <v>0</v>
      </c>
      <c r="E114" s="87">
        <v>0</v>
      </c>
      <c r="F114" s="87">
        <v>0</v>
      </c>
      <c r="G114" s="87">
        <v>0</v>
      </c>
      <c r="H114" s="87">
        <v>0</v>
      </c>
      <c r="I114" s="87">
        <v>0</v>
      </c>
    </row>
    <row r="115" spans="1:9" ht="14.5" customHeight="1" x14ac:dyDescent="0.35">
      <c r="A115" s="12"/>
      <c r="B115" s="73" t="s">
        <v>106</v>
      </c>
      <c r="C115" s="13"/>
      <c r="D115" s="87">
        <v>0</v>
      </c>
      <c r="E115" s="87">
        <v>0</v>
      </c>
      <c r="F115" s="87">
        <v>0</v>
      </c>
      <c r="G115" s="87">
        <v>0</v>
      </c>
      <c r="H115" s="90"/>
      <c r="I115" s="90"/>
    </row>
    <row r="116" spans="1:9" ht="14.5" customHeight="1" x14ac:dyDescent="0.35">
      <c r="A116" s="12"/>
      <c r="B116" s="73" t="s">
        <v>107</v>
      </c>
      <c r="C116" s="13"/>
      <c r="D116" s="87">
        <v>0</v>
      </c>
      <c r="E116" s="87">
        <v>0</v>
      </c>
      <c r="F116" s="87">
        <v>2826927</v>
      </c>
      <c r="G116" s="87">
        <v>2826927</v>
      </c>
      <c r="H116" s="90"/>
      <c r="I116" s="90"/>
    </row>
    <row r="117" spans="1:9" ht="14.5" customHeight="1" x14ac:dyDescent="0.35">
      <c r="A117" s="12"/>
      <c r="B117" s="73" t="s">
        <v>108</v>
      </c>
      <c r="C117" s="13"/>
      <c r="D117" s="87">
        <v>0</v>
      </c>
      <c r="E117" s="87">
        <v>0</v>
      </c>
      <c r="F117" s="87">
        <v>0</v>
      </c>
      <c r="G117" s="87">
        <v>0</v>
      </c>
      <c r="H117" s="90"/>
      <c r="I117" s="90"/>
    </row>
    <row r="118" spans="1:9" ht="14.5" customHeight="1" x14ac:dyDescent="0.35">
      <c r="A118" s="12"/>
      <c r="B118" s="73" t="s">
        <v>109</v>
      </c>
      <c r="C118" s="13"/>
      <c r="D118" s="87">
        <v>0</v>
      </c>
      <c r="E118" s="87">
        <v>0</v>
      </c>
      <c r="F118" s="87">
        <v>0</v>
      </c>
      <c r="G118" s="87">
        <v>0</v>
      </c>
      <c r="H118" s="87">
        <v>0</v>
      </c>
      <c r="I118" s="87">
        <v>0</v>
      </c>
    </row>
    <row r="119" spans="1:9" ht="14.5" customHeight="1" x14ac:dyDescent="0.35">
      <c r="A119" s="12"/>
      <c r="B119" s="73" t="s">
        <v>110</v>
      </c>
      <c r="C119" s="13"/>
      <c r="D119" s="87">
        <v>153312</v>
      </c>
      <c r="E119" s="87">
        <v>153312</v>
      </c>
      <c r="F119" s="87">
        <v>153312</v>
      </c>
      <c r="G119" s="87">
        <v>153312</v>
      </c>
      <c r="H119" s="87">
        <v>153000</v>
      </c>
      <c r="I119" s="87">
        <v>153000</v>
      </c>
    </row>
    <row r="120" spans="1:9" ht="14.5" customHeight="1" x14ac:dyDescent="0.35">
      <c r="A120" s="12"/>
      <c r="B120" s="73" t="s">
        <v>111</v>
      </c>
      <c r="C120" s="13"/>
      <c r="D120" s="87">
        <v>426243</v>
      </c>
      <c r="E120" s="87">
        <v>601610</v>
      </c>
      <c r="F120" s="87">
        <v>601610</v>
      </c>
      <c r="G120" s="87">
        <v>601610</v>
      </c>
      <c r="H120" s="87">
        <v>602000</v>
      </c>
      <c r="I120" s="87">
        <v>602000</v>
      </c>
    </row>
    <row r="121" spans="1:9" ht="14.5" customHeight="1" x14ac:dyDescent="0.35">
      <c r="A121" s="12"/>
      <c r="B121" s="73" t="s">
        <v>112</v>
      </c>
      <c r="C121" s="13"/>
      <c r="D121" s="87">
        <v>0</v>
      </c>
      <c r="E121" s="87">
        <v>0</v>
      </c>
      <c r="F121" s="87">
        <v>0</v>
      </c>
      <c r="G121" s="87">
        <v>0</v>
      </c>
      <c r="H121" s="87">
        <v>0</v>
      </c>
      <c r="I121" s="87">
        <v>0</v>
      </c>
    </row>
    <row r="122" spans="1:9" ht="14.5" customHeight="1" x14ac:dyDescent="0.35">
      <c r="A122" s="12"/>
      <c r="B122" s="73" t="s">
        <v>113</v>
      </c>
      <c r="C122" s="13"/>
      <c r="D122" s="87">
        <v>0</v>
      </c>
      <c r="E122" s="87">
        <v>0</v>
      </c>
      <c r="F122" s="87">
        <v>0</v>
      </c>
      <c r="G122" s="87">
        <v>0</v>
      </c>
      <c r="H122" s="87">
        <v>0</v>
      </c>
      <c r="I122" s="87">
        <v>0</v>
      </c>
    </row>
    <row r="123" spans="1:9" ht="14.5" customHeight="1" x14ac:dyDescent="0.35">
      <c r="A123" s="12"/>
      <c r="B123" s="73" t="s">
        <v>114</v>
      </c>
      <c r="C123" s="13"/>
      <c r="D123" s="87">
        <v>3443310</v>
      </c>
      <c r="E123" s="87">
        <v>4792016</v>
      </c>
      <c r="F123" s="87">
        <v>53230665</v>
      </c>
      <c r="G123" s="87">
        <v>45671710</v>
      </c>
      <c r="H123" s="87">
        <v>45026000</v>
      </c>
      <c r="I123" s="101">
        <v>53532000</v>
      </c>
    </row>
    <row r="124" spans="1:9" ht="14.5" customHeight="1" x14ac:dyDescent="0.35">
      <c r="A124" s="12"/>
      <c r="B124" s="73" t="s">
        <v>115</v>
      </c>
      <c r="C124" s="13"/>
      <c r="D124" s="87">
        <v>262670</v>
      </c>
      <c r="E124" s="87">
        <v>262670</v>
      </c>
      <c r="F124" s="87">
        <v>262671</v>
      </c>
      <c r="G124" s="87">
        <v>262671</v>
      </c>
      <c r="H124" s="87">
        <v>0</v>
      </c>
      <c r="I124" s="87">
        <v>0</v>
      </c>
    </row>
    <row r="125" spans="1:9" ht="14.5" customHeight="1" x14ac:dyDescent="0.35">
      <c r="A125" s="12"/>
      <c r="B125" s="73" t="s">
        <v>116</v>
      </c>
      <c r="C125" s="13"/>
      <c r="D125" s="87">
        <v>-29594</v>
      </c>
      <c r="E125" s="87">
        <v>-240389</v>
      </c>
      <c r="F125" s="87">
        <v>81425</v>
      </c>
      <c r="G125" s="87">
        <v>204445</v>
      </c>
      <c r="H125" s="87">
        <v>-466000</v>
      </c>
      <c r="I125" s="87">
        <v>365000</v>
      </c>
    </row>
    <row r="126" spans="1:9" ht="14.5" customHeight="1" x14ac:dyDescent="0.35">
      <c r="A126" s="12"/>
      <c r="B126" s="73" t="s">
        <v>117</v>
      </c>
      <c r="C126" s="13"/>
      <c r="D126" s="87">
        <v>164658</v>
      </c>
      <c r="E126" s="87">
        <v>337233</v>
      </c>
      <c r="F126" s="87">
        <v>382717</v>
      </c>
      <c r="G126" s="87">
        <v>172505</v>
      </c>
      <c r="H126" s="87">
        <v>-1588000</v>
      </c>
      <c r="I126" s="87">
        <v>-1588000</v>
      </c>
    </row>
    <row r="127" spans="1:9" ht="14.5" customHeight="1" x14ac:dyDescent="0.35">
      <c r="A127" s="12"/>
      <c r="B127" s="73" t="s">
        <v>118</v>
      </c>
      <c r="C127" s="13"/>
      <c r="D127" s="87">
        <v>3680512</v>
      </c>
      <c r="E127" s="87">
        <v>3796367</v>
      </c>
      <c r="F127" s="87">
        <v>-7716899</v>
      </c>
      <c r="G127" s="87">
        <v>-9585258</v>
      </c>
      <c r="H127" s="87">
        <v>400000</v>
      </c>
      <c r="I127" s="87">
        <v>-7424000</v>
      </c>
    </row>
    <row r="128" spans="1:9" ht="14.5" customHeight="1" x14ac:dyDescent="0.35">
      <c r="A128" s="12"/>
      <c r="B128" s="73" t="s">
        <v>119</v>
      </c>
      <c r="C128" s="13"/>
      <c r="D128" s="87">
        <v>0</v>
      </c>
      <c r="E128" s="87">
        <v>0</v>
      </c>
      <c r="F128" s="87">
        <v>0</v>
      </c>
      <c r="G128" s="87">
        <v>0</v>
      </c>
      <c r="H128" s="90"/>
      <c r="I128" s="90"/>
    </row>
    <row r="129" spans="1:9" ht="14.5" customHeight="1" x14ac:dyDescent="0.35">
      <c r="A129" s="12"/>
      <c r="B129" s="73" t="s">
        <v>120</v>
      </c>
      <c r="C129" s="13"/>
      <c r="D129" s="87">
        <v>0</v>
      </c>
      <c r="E129" s="87">
        <v>0</v>
      </c>
      <c r="F129" s="87">
        <v>0</v>
      </c>
      <c r="G129" s="87">
        <v>0</v>
      </c>
      <c r="H129" s="90"/>
      <c r="I129" s="90"/>
    </row>
    <row r="130" spans="1:9" ht="14.5" customHeight="1" x14ac:dyDescent="0.35">
      <c r="A130" s="12"/>
      <c r="B130" s="73" t="s">
        <v>121</v>
      </c>
      <c r="C130" s="13"/>
      <c r="D130" s="87">
        <v>0</v>
      </c>
      <c r="E130" s="87">
        <v>0</v>
      </c>
      <c r="F130" s="87">
        <v>0</v>
      </c>
      <c r="G130" s="87">
        <v>0</v>
      </c>
      <c r="H130" s="87">
        <v>0</v>
      </c>
      <c r="I130" s="87">
        <v>0</v>
      </c>
    </row>
    <row r="131" spans="1:9" ht="14.5" customHeight="1" x14ac:dyDescent="0.35">
      <c r="A131" s="12"/>
      <c r="B131" s="73" t="s">
        <v>122</v>
      </c>
      <c r="C131" s="13"/>
      <c r="D131" s="87">
        <v>10050591</v>
      </c>
      <c r="E131" s="87">
        <v>11652299</v>
      </c>
      <c r="F131" s="87">
        <v>48944981</v>
      </c>
      <c r="G131" s="87">
        <v>39430475</v>
      </c>
      <c r="H131" s="87">
        <v>46076000</v>
      </c>
      <c r="I131" s="87">
        <v>47589000</v>
      </c>
    </row>
    <row r="132" spans="1:9" ht="14.5" customHeight="1" x14ac:dyDescent="0.35">
      <c r="A132" s="12"/>
      <c r="B132" s="73" t="s">
        <v>123</v>
      </c>
      <c r="C132" s="13"/>
      <c r="D132" s="87">
        <v>0</v>
      </c>
      <c r="E132" s="87">
        <v>0</v>
      </c>
      <c r="F132" s="87">
        <v>0</v>
      </c>
      <c r="G132" s="87">
        <v>0</v>
      </c>
      <c r="H132" s="87">
        <v>0</v>
      </c>
      <c r="I132" s="87">
        <v>0</v>
      </c>
    </row>
    <row r="133" spans="1:9" ht="14.5" customHeight="1" x14ac:dyDescent="0.35">
      <c r="A133" s="12"/>
      <c r="B133" s="73" t="s">
        <v>124</v>
      </c>
      <c r="C133" s="13"/>
      <c r="D133" s="90"/>
      <c r="E133" s="90"/>
      <c r="F133" s="90"/>
      <c r="G133" s="90"/>
      <c r="H133" s="87">
        <v>133000</v>
      </c>
      <c r="I133" s="87">
        <v>202000</v>
      </c>
    </row>
    <row r="134" spans="1:9" ht="14.5" customHeight="1" x14ac:dyDescent="0.35">
      <c r="A134" s="12"/>
      <c r="B134" s="73" t="s">
        <v>125</v>
      </c>
      <c r="C134" s="13"/>
      <c r="D134" s="87">
        <v>0</v>
      </c>
      <c r="E134" s="87">
        <v>0</v>
      </c>
      <c r="F134" s="87">
        <v>0</v>
      </c>
      <c r="G134" s="87">
        <v>0</v>
      </c>
      <c r="H134" s="87">
        <v>0</v>
      </c>
      <c r="I134" s="87">
        <v>0</v>
      </c>
    </row>
    <row r="135" spans="1:9" ht="14.5" customHeight="1" x14ac:dyDescent="0.35">
      <c r="A135" s="12"/>
      <c r="B135" s="73" t="s">
        <v>126</v>
      </c>
      <c r="C135" s="13"/>
      <c r="D135" s="87">
        <v>0</v>
      </c>
      <c r="E135" s="87">
        <v>0</v>
      </c>
      <c r="F135" s="87">
        <v>0</v>
      </c>
      <c r="G135" s="87">
        <v>0</v>
      </c>
      <c r="H135" s="87">
        <v>0</v>
      </c>
      <c r="I135" s="87">
        <v>0</v>
      </c>
    </row>
    <row r="136" spans="1:9" ht="14.5" customHeight="1" x14ac:dyDescent="0.35">
      <c r="A136" s="12"/>
      <c r="B136" s="14"/>
      <c r="C136" s="14"/>
      <c r="D136" s="7"/>
      <c r="E136" s="7"/>
      <c r="F136" s="7"/>
      <c r="G136" s="7"/>
      <c r="H136" s="7"/>
      <c r="I136" s="88"/>
    </row>
    <row r="137" spans="1:9" ht="14.5" customHeight="1" x14ac:dyDescent="0.35">
      <c r="A137" s="12"/>
      <c r="B137" s="73" t="s">
        <v>127</v>
      </c>
      <c r="C137" s="13"/>
      <c r="D137" s="87">
        <v>578246</v>
      </c>
      <c r="E137" s="87">
        <v>846199</v>
      </c>
      <c r="F137" s="87">
        <v>3451090</v>
      </c>
      <c r="G137" s="87">
        <v>2625517</v>
      </c>
      <c r="H137" s="87">
        <v>3102000</v>
      </c>
      <c r="I137" s="87">
        <v>548000</v>
      </c>
    </row>
    <row r="138" spans="1:9" ht="14.5" customHeight="1" x14ac:dyDescent="0.35">
      <c r="A138" s="12"/>
      <c r="B138" s="73" t="s">
        <v>128</v>
      </c>
      <c r="C138" s="13"/>
      <c r="D138" s="87">
        <v>39011</v>
      </c>
      <c r="E138" s="87">
        <v>55366</v>
      </c>
      <c r="F138" s="87">
        <v>171821</v>
      </c>
      <c r="G138" s="87">
        <v>180927</v>
      </c>
      <c r="H138" s="87">
        <v>193000</v>
      </c>
      <c r="I138" s="87">
        <v>198000</v>
      </c>
    </row>
    <row r="139" spans="1:9" ht="14.5" customHeight="1" x14ac:dyDescent="0.35">
      <c r="A139" s="12"/>
      <c r="B139" s="73" t="s">
        <v>129</v>
      </c>
      <c r="C139" s="13"/>
      <c r="D139" s="87">
        <v>413086</v>
      </c>
      <c r="E139" s="87">
        <v>387534</v>
      </c>
      <c r="F139" s="87">
        <v>786870</v>
      </c>
      <c r="G139" s="87">
        <v>822567</v>
      </c>
      <c r="H139" s="87">
        <v>133000</v>
      </c>
      <c r="I139" s="87">
        <v>202000</v>
      </c>
    </row>
    <row r="140" spans="1:9" ht="14.5" customHeight="1" x14ac:dyDescent="0.35">
      <c r="A140" s="12"/>
      <c r="B140" s="73" t="s">
        <v>130</v>
      </c>
      <c r="C140" s="13"/>
      <c r="D140" s="87">
        <v>42342</v>
      </c>
      <c r="E140" s="87">
        <v>319492</v>
      </c>
      <c r="F140" s="87">
        <v>513850</v>
      </c>
      <c r="G140" s="87">
        <v>374302</v>
      </c>
      <c r="H140" s="87">
        <v>1001000</v>
      </c>
      <c r="I140" s="87">
        <v>34000</v>
      </c>
    </row>
    <row r="141" spans="1:9" ht="14.5" customHeight="1" x14ac:dyDescent="0.35">
      <c r="A141" s="12"/>
      <c r="B141" s="73" t="s">
        <v>131</v>
      </c>
      <c r="C141" s="13"/>
      <c r="D141" s="87">
        <v>83807</v>
      </c>
      <c r="E141" s="87">
        <v>83807</v>
      </c>
      <c r="F141" s="101">
        <v>1978549</v>
      </c>
      <c r="G141" s="87">
        <v>1247721</v>
      </c>
      <c r="H141" s="87">
        <v>1775000</v>
      </c>
      <c r="I141" s="87">
        <v>114000</v>
      </c>
    </row>
    <row r="142" spans="1:9" ht="14.5" customHeight="1" x14ac:dyDescent="0.35">
      <c r="A142" s="12"/>
      <c r="B142" s="73" t="s">
        <v>132</v>
      </c>
      <c r="C142" s="13"/>
      <c r="D142" s="87">
        <v>0</v>
      </c>
      <c r="E142" s="87">
        <v>0</v>
      </c>
      <c r="F142" s="87">
        <v>0</v>
      </c>
      <c r="G142" s="87">
        <v>0</v>
      </c>
      <c r="H142" s="87">
        <v>0</v>
      </c>
      <c r="I142" s="87">
        <v>0</v>
      </c>
    </row>
    <row r="143" spans="1:9" ht="14.5" customHeight="1" x14ac:dyDescent="0.35">
      <c r="A143" s="12"/>
      <c r="B143" s="14"/>
      <c r="C143" s="14"/>
      <c r="D143" s="7"/>
      <c r="E143" s="7"/>
      <c r="F143" s="7"/>
      <c r="G143" s="7"/>
      <c r="H143" s="7"/>
      <c r="I143" s="88"/>
    </row>
    <row r="144" spans="1:9" ht="14.5" customHeight="1" x14ac:dyDescent="0.35">
      <c r="A144" s="12"/>
      <c r="B144" s="73" t="s">
        <v>133</v>
      </c>
      <c r="C144" s="13"/>
      <c r="D144" s="87">
        <v>802418</v>
      </c>
      <c r="E144" s="87">
        <v>935879</v>
      </c>
      <c r="F144" s="87">
        <v>993962</v>
      </c>
      <c r="G144" s="87">
        <v>1081245</v>
      </c>
      <c r="H144" s="87">
        <v>1518000</v>
      </c>
      <c r="I144" s="87">
        <v>1367000</v>
      </c>
    </row>
    <row r="145" spans="1:9" ht="14.5" customHeight="1" x14ac:dyDescent="0.35">
      <c r="A145" s="12"/>
      <c r="B145" s="14"/>
      <c r="C145" s="14"/>
      <c r="D145" s="7"/>
      <c r="E145" s="7"/>
      <c r="F145" s="7"/>
      <c r="G145" s="7"/>
      <c r="H145" s="7"/>
      <c r="I145" s="88"/>
    </row>
    <row r="146" spans="1:9" ht="14.5" customHeight="1" x14ac:dyDescent="0.35">
      <c r="A146" s="16"/>
      <c r="B146" s="76" t="s">
        <v>134</v>
      </c>
      <c r="C146" s="17"/>
      <c r="D146" s="18"/>
      <c r="E146" s="18"/>
      <c r="F146" s="18"/>
      <c r="G146" s="18"/>
      <c r="H146" s="18"/>
      <c r="I146" s="95"/>
    </row>
    <row r="147" spans="1:9" ht="14.5" customHeight="1" x14ac:dyDescent="0.35">
      <c r="A147" s="12"/>
      <c r="B147" s="14"/>
      <c r="C147" s="14"/>
      <c r="D147" s="7"/>
      <c r="E147" s="7"/>
      <c r="F147" s="7"/>
      <c r="G147" s="7"/>
      <c r="H147" s="7"/>
      <c r="I147" s="88"/>
    </row>
    <row r="148" spans="1:9" ht="14.5" customHeight="1" x14ac:dyDescent="0.35">
      <c r="A148" s="12"/>
      <c r="B148" s="73" t="s">
        <v>135</v>
      </c>
      <c r="C148" s="13"/>
      <c r="D148" s="87">
        <v>38471641</v>
      </c>
      <c r="E148" s="87">
        <v>52968077</v>
      </c>
      <c r="F148" s="87">
        <v>81459905</v>
      </c>
      <c r="G148" s="87">
        <v>87342774</v>
      </c>
      <c r="H148" s="87">
        <v>93531000</v>
      </c>
      <c r="I148" s="87">
        <v>99417000</v>
      </c>
    </row>
    <row r="149" spans="1:9" ht="14.5" customHeight="1" x14ac:dyDescent="0.35">
      <c r="A149" s="12"/>
      <c r="B149" s="73" t="s">
        <v>136</v>
      </c>
      <c r="C149" s="13"/>
      <c r="D149" s="87">
        <v>0</v>
      </c>
      <c r="E149" s="87">
        <v>0</v>
      </c>
      <c r="F149" s="87">
        <v>0</v>
      </c>
      <c r="G149" s="87">
        <v>0</v>
      </c>
      <c r="H149" s="87">
        <v>0</v>
      </c>
      <c r="I149" s="87">
        <v>0</v>
      </c>
    </row>
    <row r="150" spans="1:9" ht="14.5" customHeight="1" x14ac:dyDescent="0.35">
      <c r="A150" s="12"/>
      <c r="B150" s="73" t="s">
        <v>137</v>
      </c>
      <c r="C150" s="13"/>
      <c r="D150" s="87">
        <v>0</v>
      </c>
      <c r="E150" s="87">
        <v>0</v>
      </c>
      <c r="F150" s="87">
        <v>0</v>
      </c>
      <c r="G150" s="87">
        <v>0</v>
      </c>
      <c r="H150" s="87">
        <v>0</v>
      </c>
      <c r="I150" s="87">
        <v>0</v>
      </c>
    </row>
    <row r="151" spans="1:9" ht="14.5" customHeight="1" x14ac:dyDescent="0.35">
      <c r="A151" s="12"/>
      <c r="B151" s="73" t="s">
        <v>138</v>
      </c>
      <c r="C151" s="13"/>
      <c r="D151" s="87">
        <v>0</v>
      </c>
      <c r="E151" s="87">
        <v>0</v>
      </c>
      <c r="F151" s="87">
        <v>0</v>
      </c>
      <c r="G151" s="87">
        <v>0</v>
      </c>
      <c r="H151" s="87">
        <v>0</v>
      </c>
      <c r="I151" s="87">
        <v>0</v>
      </c>
    </row>
    <row r="152" spans="1:9" ht="14.5" customHeight="1" x14ac:dyDescent="0.35">
      <c r="A152" s="12"/>
      <c r="B152" s="73" t="s">
        <v>139</v>
      </c>
      <c r="C152" s="13"/>
      <c r="D152" s="87">
        <v>0</v>
      </c>
      <c r="E152" s="87">
        <v>0</v>
      </c>
      <c r="F152" s="87">
        <v>0</v>
      </c>
      <c r="G152" s="87">
        <v>0</v>
      </c>
      <c r="H152" s="87">
        <v>0</v>
      </c>
      <c r="I152" s="87">
        <v>0</v>
      </c>
    </row>
    <row r="153" spans="1:9" s="24" customFormat="1" ht="14.5" customHeight="1" x14ac:dyDescent="0.35">
      <c r="A153" s="22"/>
      <c r="B153" s="75" t="s">
        <v>140</v>
      </c>
      <c r="C153" s="23"/>
      <c r="D153" s="87">
        <v>0</v>
      </c>
      <c r="E153" s="87">
        <v>0</v>
      </c>
      <c r="F153" s="87">
        <v>0</v>
      </c>
      <c r="G153" s="87">
        <v>0</v>
      </c>
      <c r="H153" s="87">
        <v>0</v>
      </c>
      <c r="I153" s="87">
        <v>0</v>
      </c>
    </row>
    <row r="154" spans="1:9" s="24" customFormat="1" ht="14.5" customHeight="1" x14ac:dyDescent="0.35">
      <c r="A154" s="22"/>
      <c r="B154" s="75" t="s">
        <v>141</v>
      </c>
      <c r="C154" s="23"/>
      <c r="D154" s="87">
        <v>0</v>
      </c>
      <c r="E154" s="87">
        <v>0</v>
      </c>
      <c r="F154" s="87">
        <v>0</v>
      </c>
      <c r="G154" s="87">
        <v>0</v>
      </c>
      <c r="H154" s="87">
        <v>0</v>
      </c>
      <c r="I154" s="87">
        <v>0</v>
      </c>
    </row>
    <row r="155" spans="1:9" ht="14.5" customHeight="1" x14ac:dyDescent="0.35">
      <c r="A155" s="12"/>
      <c r="B155" s="73" t="s">
        <v>142</v>
      </c>
      <c r="C155" s="13"/>
      <c r="D155" s="87">
        <v>6761999</v>
      </c>
      <c r="E155" s="87">
        <v>6979697</v>
      </c>
      <c r="F155" s="87">
        <v>3392970</v>
      </c>
      <c r="G155" s="87">
        <v>7161114</v>
      </c>
      <c r="H155" s="87">
        <v>7264000</v>
      </c>
      <c r="I155" s="87">
        <v>71788000</v>
      </c>
    </row>
    <row r="156" spans="1:9" ht="14.5" customHeight="1" x14ac:dyDescent="0.35">
      <c r="A156" s="12"/>
      <c r="B156" s="73" t="s">
        <v>143</v>
      </c>
      <c r="C156" s="13"/>
      <c r="D156" s="87">
        <v>15235613</v>
      </c>
      <c r="E156" s="87">
        <v>24976238</v>
      </c>
      <c r="F156" s="87">
        <v>59586799</v>
      </c>
      <c r="G156" s="87">
        <v>58833378</v>
      </c>
      <c r="H156" s="87">
        <v>59079000</v>
      </c>
      <c r="I156" s="87">
        <v>0</v>
      </c>
    </row>
    <row r="157" spans="1:9" ht="14.5" customHeight="1" x14ac:dyDescent="0.35">
      <c r="A157" s="12"/>
      <c r="B157" s="73" t="s">
        <v>144</v>
      </c>
      <c r="C157" s="13"/>
      <c r="D157" s="87">
        <v>0</v>
      </c>
      <c r="E157" s="87">
        <v>0</v>
      </c>
      <c r="F157" s="87">
        <v>0</v>
      </c>
      <c r="G157" s="87">
        <v>0</v>
      </c>
      <c r="H157" s="87">
        <v>874000</v>
      </c>
      <c r="I157" s="87">
        <v>974000</v>
      </c>
    </row>
    <row r="158" spans="1:9" ht="14.5" customHeight="1" x14ac:dyDescent="0.35">
      <c r="A158" s="12"/>
      <c r="B158" s="73" t="s">
        <v>145</v>
      </c>
      <c r="C158" s="13"/>
      <c r="D158" s="87">
        <v>0</v>
      </c>
      <c r="E158" s="87">
        <v>0</v>
      </c>
      <c r="F158" s="87">
        <v>0</v>
      </c>
      <c r="G158" s="87">
        <v>0</v>
      </c>
      <c r="H158" s="87">
        <v>3072000</v>
      </c>
      <c r="I158" s="87">
        <v>2380000</v>
      </c>
    </row>
    <row r="159" spans="1:9" ht="14.5" customHeight="1" x14ac:dyDescent="0.35">
      <c r="A159" s="12"/>
      <c r="B159" s="73" t="s">
        <v>146</v>
      </c>
      <c r="C159" s="13"/>
      <c r="D159" s="87">
        <v>0</v>
      </c>
      <c r="E159" s="87">
        <v>0</v>
      </c>
      <c r="F159" s="87">
        <v>0</v>
      </c>
      <c r="G159" s="87">
        <v>0</v>
      </c>
      <c r="H159" s="87">
        <v>0</v>
      </c>
      <c r="I159" s="87">
        <v>0</v>
      </c>
    </row>
    <row r="160" spans="1:9" ht="14.5" customHeight="1" x14ac:dyDescent="0.35">
      <c r="A160" s="12"/>
      <c r="B160" s="73" t="s">
        <v>147</v>
      </c>
      <c r="C160" s="13"/>
      <c r="D160" s="87">
        <v>0</v>
      </c>
      <c r="E160" s="87">
        <v>0</v>
      </c>
      <c r="F160" s="87">
        <v>0</v>
      </c>
      <c r="G160" s="87">
        <v>0</v>
      </c>
      <c r="H160" s="87">
        <v>0</v>
      </c>
      <c r="I160" s="87">
        <v>0</v>
      </c>
    </row>
    <row r="161" spans="1:9" ht="14.5" customHeight="1" x14ac:dyDescent="0.35">
      <c r="A161" s="12"/>
      <c r="B161" s="73" t="s">
        <v>148</v>
      </c>
      <c r="C161" s="13"/>
      <c r="D161" s="87">
        <v>13201318</v>
      </c>
      <c r="E161" s="87">
        <v>18681862</v>
      </c>
      <c r="F161" s="87">
        <v>16239140</v>
      </c>
      <c r="G161" s="87">
        <v>18790813</v>
      </c>
      <c r="H161" s="87">
        <v>20627000</v>
      </c>
      <c r="I161" s="87">
        <v>22429000</v>
      </c>
    </row>
    <row r="162" spans="1:9" ht="14.5" customHeight="1" x14ac:dyDescent="0.35">
      <c r="A162" s="12"/>
      <c r="B162" s="73" t="s">
        <v>149</v>
      </c>
      <c r="C162" s="13"/>
      <c r="D162" s="87">
        <v>0</v>
      </c>
      <c r="E162" s="87">
        <v>0</v>
      </c>
      <c r="F162" s="87">
        <v>112955</v>
      </c>
      <c r="G162" s="87">
        <v>0</v>
      </c>
      <c r="H162" s="87">
        <v>0</v>
      </c>
      <c r="I162" s="87">
        <v>0</v>
      </c>
    </row>
    <row r="163" spans="1:9" ht="14.5" customHeight="1" x14ac:dyDescent="0.35">
      <c r="A163" s="12"/>
      <c r="B163" s="73" t="s">
        <v>150</v>
      </c>
      <c r="C163" s="13"/>
      <c r="D163" s="87">
        <v>0</v>
      </c>
      <c r="E163" s="87">
        <v>0</v>
      </c>
      <c r="F163" s="87">
        <v>0</v>
      </c>
      <c r="G163" s="87">
        <v>0</v>
      </c>
      <c r="H163" s="87">
        <v>0</v>
      </c>
      <c r="I163" s="87">
        <v>0</v>
      </c>
    </row>
    <row r="164" spans="1:9" ht="14.5" customHeight="1" x14ac:dyDescent="0.35">
      <c r="A164" s="12"/>
      <c r="B164" s="73" t="s">
        <v>151</v>
      </c>
      <c r="C164" s="13"/>
      <c r="D164" s="87">
        <v>0</v>
      </c>
      <c r="E164" s="87">
        <v>0</v>
      </c>
      <c r="F164" s="87">
        <v>0</v>
      </c>
      <c r="G164" s="87">
        <v>0</v>
      </c>
      <c r="H164" s="87">
        <v>0</v>
      </c>
      <c r="I164" s="87">
        <v>0</v>
      </c>
    </row>
    <row r="165" spans="1:9" ht="14.5" customHeight="1" x14ac:dyDescent="0.35">
      <c r="A165" s="12"/>
      <c r="B165" s="73" t="s">
        <v>152</v>
      </c>
      <c r="C165" s="13"/>
      <c r="D165" s="87">
        <v>0</v>
      </c>
      <c r="E165" s="87">
        <v>0</v>
      </c>
      <c r="F165" s="87">
        <v>0</v>
      </c>
      <c r="G165" s="87">
        <v>0</v>
      </c>
      <c r="H165" s="87">
        <v>0</v>
      </c>
      <c r="I165" s="87">
        <v>0</v>
      </c>
    </row>
    <row r="166" spans="1:9" ht="14.5" customHeight="1" x14ac:dyDescent="0.35">
      <c r="A166" s="12"/>
      <c r="B166" s="73" t="s">
        <v>153</v>
      </c>
      <c r="C166" s="13"/>
      <c r="D166" s="87">
        <v>0</v>
      </c>
      <c r="E166" s="87">
        <v>0</v>
      </c>
      <c r="F166" s="87">
        <v>0</v>
      </c>
      <c r="G166" s="87">
        <v>0</v>
      </c>
      <c r="H166" s="87">
        <v>0</v>
      </c>
      <c r="I166" s="87">
        <v>0</v>
      </c>
    </row>
    <row r="167" spans="1:9" ht="14.5" customHeight="1" x14ac:dyDescent="0.35">
      <c r="A167" s="12"/>
      <c r="B167" s="73" t="s">
        <v>154</v>
      </c>
      <c r="C167" s="13"/>
      <c r="D167" s="87">
        <v>0</v>
      </c>
      <c r="E167" s="87">
        <v>0</v>
      </c>
      <c r="F167" s="87">
        <v>0</v>
      </c>
      <c r="G167" s="87">
        <v>0</v>
      </c>
      <c r="H167" s="87">
        <v>0</v>
      </c>
      <c r="I167" s="87">
        <v>0</v>
      </c>
    </row>
    <row r="168" spans="1:9" ht="14.5" customHeight="1" x14ac:dyDescent="0.35">
      <c r="A168" s="12"/>
      <c r="B168" s="73" t="s">
        <v>155</v>
      </c>
      <c r="C168" s="13"/>
      <c r="D168" s="87">
        <v>0</v>
      </c>
      <c r="E168" s="87">
        <v>0</v>
      </c>
      <c r="F168" s="87">
        <v>0</v>
      </c>
      <c r="G168" s="87">
        <v>0</v>
      </c>
      <c r="H168" s="87">
        <v>0</v>
      </c>
      <c r="I168" s="87">
        <v>0</v>
      </c>
    </row>
    <row r="169" spans="1:9" ht="14.5" customHeight="1" x14ac:dyDescent="0.35">
      <c r="A169" s="12"/>
      <c r="B169" s="73" t="s">
        <v>156</v>
      </c>
      <c r="C169" s="13"/>
      <c r="D169" s="87">
        <v>0</v>
      </c>
      <c r="E169" s="87">
        <v>0</v>
      </c>
      <c r="F169" s="87">
        <v>0</v>
      </c>
      <c r="G169" s="87">
        <v>0</v>
      </c>
      <c r="H169" s="87">
        <v>0</v>
      </c>
      <c r="I169" s="87">
        <v>0</v>
      </c>
    </row>
    <row r="170" spans="1:9" ht="14.5" customHeight="1" x14ac:dyDescent="0.35">
      <c r="A170" s="12"/>
      <c r="B170" s="73" t="s">
        <v>157</v>
      </c>
      <c r="C170" s="13"/>
      <c r="D170" s="87">
        <v>0</v>
      </c>
      <c r="E170" s="87">
        <v>0</v>
      </c>
      <c r="F170" s="87">
        <v>0</v>
      </c>
      <c r="G170" s="87">
        <v>0</v>
      </c>
      <c r="H170" s="87">
        <v>0</v>
      </c>
      <c r="I170" s="87">
        <v>0</v>
      </c>
    </row>
    <row r="171" spans="1:9" ht="14.5" customHeight="1" x14ac:dyDescent="0.35">
      <c r="A171" s="12"/>
      <c r="B171" s="73" t="s">
        <v>158</v>
      </c>
      <c r="C171" s="13"/>
      <c r="D171" s="87">
        <v>0</v>
      </c>
      <c r="E171" s="87">
        <v>0</v>
      </c>
      <c r="F171" s="87">
        <v>0</v>
      </c>
      <c r="G171" s="87">
        <v>0</v>
      </c>
      <c r="H171" s="87">
        <v>0</v>
      </c>
      <c r="I171" s="87">
        <v>0</v>
      </c>
    </row>
    <row r="172" spans="1:9" ht="14.5" customHeight="1" x14ac:dyDescent="0.35">
      <c r="A172" s="12"/>
      <c r="B172" s="73" t="s">
        <v>159</v>
      </c>
      <c r="C172" s="13"/>
      <c r="D172" s="87">
        <v>0</v>
      </c>
      <c r="E172" s="87">
        <v>0</v>
      </c>
      <c r="F172" s="87">
        <v>0</v>
      </c>
      <c r="G172" s="87">
        <v>0</v>
      </c>
      <c r="H172" s="87">
        <v>0</v>
      </c>
      <c r="I172" s="87">
        <v>0</v>
      </c>
    </row>
    <row r="173" spans="1:9" ht="14.5" customHeight="1" x14ac:dyDescent="0.35">
      <c r="A173" s="12"/>
      <c r="B173" s="73" t="s">
        <v>160</v>
      </c>
      <c r="C173" s="13"/>
      <c r="D173" s="87">
        <v>1906126</v>
      </c>
      <c r="E173" s="87">
        <v>1075471</v>
      </c>
      <c r="F173" s="87">
        <v>384457</v>
      </c>
      <c r="G173" s="87">
        <v>311369</v>
      </c>
      <c r="H173" s="87">
        <v>441000</v>
      </c>
      <c r="I173" s="87">
        <v>244000</v>
      </c>
    </row>
    <row r="174" spans="1:9" ht="14.5" customHeight="1" x14ac:dyDescent="0.35">
      <c r="A174" s="12"/>
      <c r="B174" s="73" t="s">
        <v>161</v>
      </c>
      <c r="C174" s="13"/>
      <c r="D174" s="87">
        <v>0</v>
      </c>
      <c r="E174" s="87">
        <v>0</v>
      </c>
      <c r="F174" s="87">
        <v>0</v>
      </c>
      <c r="G174" s="87">
        <v>0</v>
      </c>
      <c r="H174" s="87">
        <v>0</v>
      </c>
      <c r="I174" s="87">
        <v>0</v>
      </c>
    </row>
    <row r="175" spans="1:9" ht="14.5" customHeight="1" x14ac:dyDescent="0.35">
      <c r="A175" s="12"/>
      <c r="B175" s="73" t="s">
        <v>162</v>
      </c>
      <c r="C175" s="13"/>
      <c r="D175" s="87">
        <v>152058</v>
      </c>
      <c r="E175" s="87">
        <v>194772</v>
      </c>
      <c r="F175" s="87">
        <v>203778</v>
      </c>
      <c r="G175" s="87">
        <v>189878</v>
      </c>
      <c r="H175" s="87">
        <v>249000</v>
      </c>
      <c r="I175" s="87">
        <v>230000</v>
      </c>
    </row>
    <row r="176" spans="1:9" ht="14.5" customHeight="1" x14ac:dyDescent="0.35">
      <c r="A176" s="12"/>
      <c r="B176" s="73" t="s">
        <v>163</v>
      </c>
      <c r="C176" s="13"/>
      <c r="D176" s="87">
        <v>0</v>
      </c>
      <c r="E176" s="87">
        <v>0</v>
      </c>
      <c r="F176" s="87">
        <v>0</v>
      </c>
      <c r="G176" s="87">
        <v>0</v>
      </c>
      <c r="H176" s="87">
        <v>0</v>
      </c>
      <c r="I176" s="87">
        <v>0</v>
      </c>
    </row>
    <row r="177" spans="1:9" ht="14.5" customHeight="1" x14ac:dyDescent="0.35">
      <c r="A177" s="12"/>
      <c r="B177" s="73" t="s">
        <v>164</v>
      </c>
      <c r="C177" s="13"/>
      <c r="D177" s="87">
        <v>915637</v>
      </c>
      <c r="E177" s="87">
        <v>768474</v>
      </c>
      <c r="F177" s="87">
        <v>1129276</v>
      </c>
      <c r="G177" s="87">
        <v>2056222</v>
      </c>
      <c r="H177" s="87">
        <v>1925000</v>
      </c>
      <c r="I177" s="87">
        <v>1372000</v>
      </c>
    </row>
    <row r="178" spans="1:9" ht="14.5" customHeight="1" x14ac:dyDescent="0.35">
      <c r="A178" s="12"/>
      <c r="B178" s="73" t="s">
        <v>165</v>
      </c>
      <c r="C178" s="13"/>
      <c r="D178" s="87">
        <v>298890</v>
      </c>
      <c r="E178" s="87">
        <v>291563</v>
      </c>
      <c r="F178" s="87">
        <v>410530</v>
      </c>
      <c r="G178" s="87">
        <v>0</v>
      </c>
      <c r="H178" s="87">
        <v>0</v>
      </c>
      <c r="I178" s="87">
        <v>0</v>
      </c>
    </row>
    <row r="179" spans="1:9" ht="14.5" customHeight="1" x14ac:dyDescent="0.35">
      <c r="A179" s="12"/>
      <c r="B179" s="73" t="s">
        <v>166</v>
      </c>
      <c r="C179" s="13"/>
      <c r="D179" s="87">
        <v>22937138</v>
      </c>
      <c r="E179" s="87">
        <v>27700276</v>
      </c>
      <c r="F179" s="87">
        <v>21349621</v>
      </c>
      <c r="G179" s="87">
        <v>28509396</v>
      </c>
      <c r="H179" s="87">
        <v>31380000</v>
      </c>
      <c r="I179" s="87">
        <v>97037000</v>
      </c>
    </row>
    <row r="180" spans="1:9" ht="14.5" customHeight="1" x14ac:dyDescent="0.35">
      <c r="A180" s="12"/>
      <c r="B180" s="73" t="s">
        <v>167</v>
      </c>
      <c r="C180" s="13"/>
      <c r="D180" s="87">
        <v>15534503</v>
      </c>
      <c r="E180" s="87">
        <v>25267801</v>
      </c>
      <c r="F180" s="87">
        <v>60110284</v>
      </c>
      <c r="G180" s="87">
        <v>58833378</v>
      </c>
      <c r="H180" s="87">
        <v>62151000</v>
      </c>
      <c r="I180" s="87">
        <v>2380000</v>
      </c>
    </row>
    <row r="181" spans="1:9" ht="14.5" customHeight="1" x14ac:dyDescent="0.35">
      <c r="A181" s="12"/>
      <c r="B181" s="14"/>
      <c r="C181" s="14"/>
      <c r="D181" s="7"/>
      <c r="E181" s="7"/>
      <c r="F181" s="7"/>
      <c r="G181" s="7"/>
      <c r="H181" s="7"/>
      <c r="I181" s="88"/>
    </row>
    <row r="182" spans="1:9" ht="14.5" customHeight="1" x14ac:dyDescent="0.35">
      <c r="A182" s="12"/>
      <c r="B182" s="73" t="s">
        <v>168</v>
      </c>
      <c r="C182" s="13"/>
      <c r="D182" s="87">
        <v>22937138</v>
      </c>
      <c r="E182" s="87">
        <v>27700276</v>
      </c>
      <c r="F182" s="87">
        <v>21349621</v>
      </c>
      <c r="G182" s="87">
        <v>28509396</v>
      </c>
      <c r="H182" s="87">
        <v>31380000</v>
      </c>
      <c r="I182" s="87">
        <v>97037000</v>
      </c>
    </row>
    <row r="183" spans="1:9" ht="14.5" customHeight="1" x14ac:dyDescent="0.35">
      <c r="A183" s="12"/>
      <c r="B183" s="73" t="s">
        <v>169</v>
      </c>
      <c r="C183" s="13"/>
      <c r="D183" s="87">
        <v>15534503</v>
      </c>
      <c r="E183" s="87">
        <v>25267801</v>
      </c>
      <c r="F183" s="87">
        <v>60110284</v>
      </c>
      <c r="G183" s="87">
        <v>58833378</v>
      </c>
      <c r="H183" s="87">
        <v>62151000</v>
      </c>
      <c r="I183" s="87">
        <v>2380000</v>
      </c>
    </row>
    <row r="184" spans="1:9" ht="14.5" customHeight="1" x14ac:dyDescent="0.35">
      <c r="A184" s="12"/>
      <c r="B184" s="14"/>
      <c r="C184" s="14"/>
      <c r="D184" s="7"/>
      <c r="E184" s="7"/>
      <c r="F184" s="7"/>
      <c r="G184" s="7"/>
      <c r="H184" s="7"/>
      <c r="I184" s="88"/>
    </row>
    <row r="185" spans="1:9" ht="14.5" customHeight="1" x14ac:dyDescent="0.35">
      <c r="A185" s="12"/>
      <c r="B185" s="73" t="s">
        <v>170</v>
      </c>
      <c r="C185" s="13"/>
      <c r="D185" s="87">
        <v>3405079</v>
      </c>
      <c r="E185" s="87">
        <v>3854310</v>
      </c>
      <c r="F185" s="87">
        <v>3694784</v>
      </c>
      <c r="G185" s="87">
        <v>6545179</v>
      </c>
      <c r="H185" s="87">
        <v>7598000</v>
      </c>
      <c r="I185" s="87">
        <v>4215000</v>
      </c>
    </row>
    <row r="186" spans="1:9" ht="14.5" customHeight="1" x14ac:dyDescent="0.35">
      <c r="A186" s="12"/>
      <c r="B186" s="73" t="s">
        <v>171</v>
      </c>
      <c r="C186" s="13"/>
      <c r="D186" s="90"/>
      <c r="E186" s="90"/>
      <c r="F186" s="90"/>
      <c r="G186" s="90"/>
      <c r="H186" s="90"/>
      <c r="I186" s="90"/>
    </row>
    <row r="187" spans="1:9" ht="14.5" customHeight="1" x14ac:dyDescent="0.35">
      <c r="A187" s="12"/>
      <c r="B187" s="14"/>
      <c r="C187" s="14"/>
      <c r="D187" s="7"/>
      <c r="E187" s="7"/>
      <c r="F187" s="7"/>
      <c r="G187" s="7"/>
      <c r="H187" s="7"/>
      <c r="I187" s="88"/>
    </row>
    <row r="188" spans="1:9" ht="14.5" customHeight="1" x14ac:dyDescent="0.35">
      <c r="A188" s="12"/>
      <c r="B188" s="73" t="s">
        <v>172</v>
      </c>
      <c r="C188" s="13"/>
      <c r="D188" s="87">
        <v>53307975</v>
      </c>
      <c r="E188" s="87">
        <v>70256764</v>
      </c>
      <c r="F188" s="87">
        <v>138544722</v>
      </c>
      <c r="G188" s="87">
        <v>137025190</v>
      </c>
      <c r="H188" s="87">
        <v>151825000</v>
      </c>
      <c r="I188" s="87">
        <v>153136000</v>
      </c>
    </row>
    <row r="189" spans="1:9" ht="14.5" customHeight="1" x14ac:dyDescent="0.35">
      <c r="A189" s="12"/>
      <c r="B189" s="14"/>
      <c r="C189" s="14"/>
      <c r="D189" s="7"/>
      <c r="E189" s="7"/>
      <c r="F189" s="7"/>
      <c r="G189" s="7"/>
      <c r="H189" s="7"/>
      <c r="I189" s="88"/>
    </row>
    <row r="190" spans="1:9" ht="14.5" customHeight="1" x14ac:dyDescent="0.35">
      <c r="A190" s="12"/>
      <c r="B190" s="73" t="s">
        <v>173</v>
      </c>
      <c r="C190" s="13"/>
      <c r="D190" s="87">
        <v>0</v>
      </c>
      <c r="E190" s="87">
        <v>0</v>
      </c>
      <c r="F190" s="87">
        <v>0</v>
      </c>
      <c r="G190" s="87">
        <v>0</v>
      </c>
      <c r="H190" s="87">
        <v>0</v>
      </c>
      <c r="I190" s="87">
        <v>0</v>
      </c>
    </row>
    <row r="191" spans="1:9" ht="14.5" customHeight="1" x14ac:dyDescent="0.35">
      <c r="A191" s="12"/>
      <c r="B191" s="73" t="s">
        <v>174</v>
      </c>
      <c r="C191" s="13"/>
      <c r="D191" s="87">
        <v>0</v>
      </c>
      <c r="E191" s="87">
        <v>0</v>
      </c>
      <c r="F191" s="87">
        <v>0</v>
      </c>
      <c r="G191" s="87">
        <v>0</v>
      </c>
      <c r="H191" s="87">
        <v>0</v>
      </c>
      <c r="I191" s="87">
        <v>0</v>
      </c>
    </row>
    <row r="192" spans="1:9" ht="14.5" customHeight="1" x14ac:dyDescent="0.35">
      <c r="A192" s="12"/>
      <c r="B192" s="14"/>
      <c r="C192" s="14"/>
      <c r="D192" s="7"/>
      <c r="E192" s="7"/>
      <c r="F192" s="7"/>
      <c r="G192" s="7"/>
      <c r="H192" s="7"/>
      <c r="I192" s="88"/>
    </row>
    <row r="193" spans="1:9" ht="14.5" customHeight="1" x14ac:dyDescent="0.35">
      <c r="A193" s="2"/>
      <c r="D193" s="96"/>
      <c r="E193" s="96"/>
      <c r="F193" s="96"/>
      <c r="G193" s="96"/>
      <c r="H193" s="96"/>
      <c r="I193" s="97"/>
    </row>
    <row r="194" spans="1:9" ht="14.5" customHeight="1" x14ac:dyDescent="0.35">
      <c r="A194" s="19" t="s">
        <v>175</v>
      </c>
      <c r="B194" s="69"/>
      <c r="D194" s="96"/>
      <c r="E194" s="96"/>
      <c r="F194" s="96"/>
      <c r="G194" s="96"/>
      <c r="H194" s="96"/>
      <c r="I194" s="97"/>
    </row>
    <row r="195" spans="1:9" ht="14.5" customHeight="1" x14ac:dyDescent="0.35">
      <c r="A195" s="2"/>
      <c r="D195" s="96"/>
      <c r="E195" s="96"/>
      <c r="F195" s="96"/>
      <c r="G195" s="96"/>
      <c r="H195" s="96"/>
      <c r="I195" s="97"/>
    </row>
    <row r="196" spans="1:9" ht="34" customHeight="1" x14ac:dyDescent="0.35">
      <c r="A196" s="3"/>
      <c r="B196" s="77" t="s">
        <v>1</v>
      </c>
      <c r="C196" s="4"/>
      <c r="D196" s="98" t="s">
        <v>7</v>
      </c>
      <c r="E196" s="98" t="s">
        <v>6</v>
      </c>
      <c r="F196" s="98" t="s">
        <v>5</v>
      </c>
      <c r="G196" s="98" t="s">
        <v>4</v>
      </c>
      <c r="H196" s="98" t="s">
        <v>3</v>
      </c>
      <c r="I196" s="98" t="s">
        <v>2</v>
      </c>
    </row>
    <row r="197" spans="1:9" ht="34" customHeight="1" x14ac:dyDescent="0.35">
      <c r="A197" s="6"/>
      <c r="B197" s="7"/>
      <c r="C197" s="7"/>
      <c r="D197" s="90" t="s">
        <v>393</v>
      </c>
      <c r="E197" s="90" t="s">
        <v>393</v>
      </c>
      <c r="F197" s="90" t="s">
        <v>393</v>
      </c>
      <c r="G197" s="90" t="s">
        <v>393</v>
      </c>
      <c r="H197" s="90" t="s">
        <v>394</v>
      </c>
      <c r="I197" s="90" t="s">
        <v>394</v>
      </c>
    </row>
    <row r="198" spans="1:9" ht="14.5" customHeight="1" x14ac:dyDescent="0.35">
      <c r="A198" s="12"/>
      <c r="B198" s="73" t="s">
        <v>176</v>
      </c>
      <c r="C198" s="13"/>
      <c r="D198" s="87">
        <v>55500255</v>
      </c>
      <c r="E198" s="87">
        <v>60705711</v>
      </c>
      <c r="F198" s="87">
        <v>62528487</v>
      </c>
      <c r="G198" s="87">
        <v>69292841</v>
      </c>
      <c r="H198" s="87">
        <v>70459000</v>
      </c>
      <c r="I198" s="87">
        <v>78291000</v>
      </c>
    </row>
    <row r="199" spans="1:9" ht="14.5" customHeight="1" x14ac:dyDescent="0.35">
      <c r="A199" s="12"/>
      <c r="B199" s="73" t="s">
        <v>177</v>
      </c>
      <c r="C199" s="13"/>
      <c r="D199" s="87">
        <v>54215466</v>
      </c>
      <c r="E199" s="87">
        <v>59305480</v>
      </c>
      <c r="F199" s="87">
        <v>60586586</v>
      </c>
      <c r="G199" s="87">
        <v>66798486</v>
      </c>
      <c r="H199" s="87">
        <v>70459000</v>
      </c>
      <c r="I199" s="87">
        <v>75740000</v>
      </c>
    </row>
    <row r="200" spans="1:9" ht="14.5" customHeight="1" x14ac:dyDescent="0.35">
      <c r="A200" s="12"/>
      <c r="B200" s="73" t="s">
        <v>178</v>
      </c>
      <c r="C200" s="13"/>
      <c r="D200" s="87">
        <v>632612</v>
      </c>
      <c r="E200" s="87">
        <v>675319</v>
      </c>
      <c r="F200" s="87">
        <v>880174</v>
      </c>
      <c r="G200" s="87">
        <v>1311662</v>
      </c>
      <c r="H200" s="87">
        <v>0</v>
      </c>
      <c r="I200" s="87">
        <v>0</v>
      </c>
    </row>
    <row r="201" spans="1:9" ht="14.5" customHeight="1" x14ac:dyDescent="0.35">
      <c r="A201" s="12"/>
      <c r="B201" s="73" t="s">
        <v>179</v>
      </c>
      <c r="C201" s="13"/>
      <c r="D201" s="87">
        <v>0</v>
      </c>
      <c r="E201" s="87">
        <v>0</v>
      </c>
      <c r="F201" s="87">
        <v>0</v>
      </c>
      <c r="G201" s="87">
        <v>0</v>
      </c>
      <c r="H201" s="87">
        <v>0</v>
      </c>
      <c r="I201" s="87">
        <v>0</v>
      </c>
    </row>
    <row r="202" spans="1:9" ht="14.5" customHeight="1" x14ac:dyDescent="0.35">
      <c r="A202" s="12"/>
      <c r="B202" s="73" t="s">
        <v>180</v>
      </c>
      <c r="C202" s="13"/>
      <c r="D202" s="90"/>
      <c r="E202" s="90"/>
      <c r="F202" s="90"/>
      <c r="G202" s="90"/>
      <c r="H202" s="90"/>
      <c r="I202" s="90"/>
    </row>
    <row r="203" spans="1:9" ht="14.5" customHeight="1" x14ac:dyDescent="0.35">
      <c r="A203" s="12"/>
      <c r="B203" s="73" t="s">
        <v>181</v>
      </c>
      <c r="C203" s="13"/>
      <c r="D203" s="87">
        <v>0</v>
      </c>
      <c r="E203" s="87">
        <v>0</v>
      </c>
      <c r="F203" s="87">
        <v>0</v>
      </c>
      <c r="G203" s="87">
        <v>0</v>
      </c>
      <c r="H203" s="87">
        <v>0</v>
      </c>
      <c r="I203" s="87">
        <v>0</v>
      </c>
    </row>
    <row r="204" spans="1:9" ht="14.5" customHeight="1" x14ac:dyDescent="0.35">
      <c r="A204" s="12"/>
      <c r="B204" s="73" t="s">
        <v>182</v>
      </c>
      <c r="C204" s="13"/>
      <c r="D204" s="87">
        <v>652177</v>
      </c>
      <c r="E204" s="87">
        <v>724912</v>
      </c>
      <c r="F204" s="87">
        <v>1061727</v>
      </c>
      <c r="G204" s="87">
        <v>1182693</v>
      </c>
      <c r="H204" s="87">
        <v>0</v>
      </c>
      <c r="I204" s="87">
        <v>2551000</v>
      </c>
    </row>
    <row r="205" spans="1:9" ht="14.5" customHeight="1" x14ac:dyDescent="0.35">
      <c r="A205" s="12"/>
      <c r="B205" s="73" t="s">
        <v>183</v>
      </c>
      <c r="C205" s="13"/>
      <c r="D205" s="87">
        <v>0</v>
      </c>
      <c r="E205" s="87">
        <v>0</v>
      </c>
      <c r="F205" s="87">
        <v>0</v>
      </c>
      <c r="G205" s="87">
        <v>28297</v>
      </c>
      <c r="H205" s="87">
        <v>0</v>
      </c>
      <c r="I205" s="90"/>
    </row>
    <row r="206" spans="1:9" ht="14.5" customHeight="1" x14ac:dyDescent="0.35">
      <c r="A206" s="12"/>
      <c r="B206" s="14"/>
      <c r="C206" s="14"/>
      <c r="D206" s="7"/>
      <c r="E206" s="7"/>
      <c r="F206" s="7"/>
      <c r="G206" s="7"/>
      <c r="H206" s="7"/>
      <c r="I206" s="88"/>
    </row>
    <row r="207" spans="1:9" ht="14.5" customHeight="1" x14ac:dyDescent="0.35">
      <c r="A207" s="12"/>
      <c r="B207" s="73" t="s">
        <v>184</v>
      </c>
      <c r="C207" s="13"/>
      <c r="D207" s="87">
        <v>48765824</v>
      </c>
      <c r="E207" s="87">
        <v>54760970</v>
      </c>
      <c r="F207" s="87">
        <v>68116692</v>
      </c>
      <c r="G207" s="87">
        <v>73656889</v>
      </c>
      <c r="H207" s="87">
        <v>65820000</v>
      </c>
      <c r="I207" s="87">
        <v>84946000</v>
      </c>
    </row>
    <row r="208" spans="1:9" ht="14.5" customHeight="1" x14ac:dyDescent="0.35">
      <c r="A208" s="12"/>
      <c r="B208" s="73" t="s">
        <v>185</v>
      </c>
      <c r="C208" s="13"/>
      <c r="D208" s="87">
        <v>21994278</v>
      </c>
      <c r="E208" s="87">
        <v>25270369</v>
      </c>
      <c r="F208" s="87">
        <v>25334073</v>
      </c>
      <c r="G208" s="87">
        <v>27444147</v>
      </c>
      <c r="H208" s="87">
        <v>25444000</v>
      </c>
      <c r="I208" s="87">
        <v>30770000</v>
      </c>
    </row>
    <row r="209" spans="1:9" ht="14.5" customHeight="1" x14ac:dyDescent="0.35">
      <c r="A209" s="12"/>
      <c r="B209" s="73" t="s">
        <v>186</v>
      </c>
      <c r="C209" s="13"/>
      <c r="D209" s="87">
        <v>19652433</v>
      </c>
      <c r="E209" s="87">
        <v>21408313</v>
      </c>
      <c r="F209" s="87">
        <v>21717057</v>
      </c>
      <c r="G209" s="87">
        <v>24967995</v>
      </c>
      <c r="H209" s="87">
        <v>26773000</v>
      </c>
      <c r="I209" s="101">
        <v>40758000</v>
      </c>
    </row>
    <row r="210" spans="1:9" ht="14.5" customHeight="1" x14ac:dyDescent="0.35">
      <c r="A210" s="12"/>
      <c r="B210" s="73" t="s">
        <v>187</v>
      </c>
      <c r="C210" s="13"/>
      <c r="D210" s="87">
        <v>248224</v>
      </c>
      <c r="E210" s="87">
        <v>273958</v>
      </c>
      <c r="F210" s="87">
        <v>528690</v>
      </c>
      <c r="G210" s="87">
        <v>560593</v>
      </c>
      <c r="H210" s="87">
        <v>0</v>
      </c>
      <c r="I210" s="87">
        <v>0</v>
      </c>
    </row>
    <row r="211" spans="1:9" ht="14.5" customHeight="1" x14ac:dyDescent="0.35">
      <c r="A211" s="12"/>
      <c r="B211" s="73" t="s">
        <v>188</v>
      </c>
      <c r="C211" s="13"/>
      <c r="D211" s="87">
        <v>4019898</v>
      </c>
      <c r="E211" s="87">
        <v>4848408</v>
      </c>
      <c r="F211" s="87">
        <v>5993921</v>
      </c>
      <c r="G211" s="87">
        <v>6771876</v>
      </c>
      <c r="H211" s="87">
        <v>7183000</v>
      </c>
      <c r="I211" s="87">
        <v>5588000</v>
      </c>
    </row>
    <row r="212" spans="1:9" ht="14.5" customHeight="1" x14ac:dyDescent="0.35">
      <c r="A212" s="12"/>
      <c r="B212" s="73" t="s">
        <v>189</v>
      </c>
      <c r="C212" s="13"/>
      <c r="D212" s="87">
        <v>2977062</v>
      </c>
      <c r="E212" s="87">
        <v>3508227</v>
      </c>
      <c r="F212" s="87">
        <v>4418209</v>
      </c>
      <c r="G212" s="87">
        <v>4996462</v>
      </c>
      <c r="H212" s="87">
        <v>7183000</v>
      </c>
      <c r="I212" s="87">
        <v>5588000</v>
      </c>
    </row>
    <row r="213" spans="1:9" ht="14.5" customHeight="1" x14ac:dyDescent="0.35">
      <c r="A213" s="12"/>
      <c r="B213" s="73" t="s">
        <v>190</v>
      </c>
      <c r="C213" s="13"/>
      <c r="D213" s="87">
        <v>857554</v>
      </c>
      <c r="E213" s="87">
        <v>1112747</v>
      </c>
      <c r="F213" s="87">
        <v>1323464</v>
      </c>
      <c r="G213" s="87">
        <v>1484514</v>
      </c>
      <c r="H213" s="87">
        <v>0</v>
      </c>
      <c r="I213" s="87">
        <v>0</v>
      </c>
    </row>
    <row r="214" spans="1:9" ht="14.5" customHeight="1" x14ac:dyDescent="0.35">
      <c r="A214" s="12"/>
      <c r="B214" s="73" t="s">
        <v>191</v>
      </c>
      <c r="C214" s="13"/>
      <c r="D214" s="87">
        <v>185282</v>
      </c>
      <c r="E214" s="87">
        <v>227434</v>
      </c>
      <c r="F214" s="87">
        <v>252248</v>
      </c>
      <c r="G214" s="87">
        <v>290900</v>
      </c>
      <c r="H214" s="87">
        <v>0</v>
      </c>
      <c r="I214" s="87">
        <v>0</v>
      </c>
    </row>
    <row r="215" spans="1:9" ht="14.5" customHeight="1" x14ac:dyDescent="0.35">
      <c r="A215" s="12"/>
      <c r="B215" s="73" t="s">
        <v>192</v>
      </c>
      <c r="C215" s="13"/>
      <c r="D215" s="87">
        <v>0</v>
      </c>
      <c r="E215" s="87">
        <v>0</v>
      </c>
      <c r="F215" s="87">
        <v>0</v>
      </c>
      <c r="G215" s="87">
        <v>0</v>
      </c>
      <c r="H215" s="87">
        <v>0</v>
      </c>
      <c r="I215" s="87">
        <v>0</v>
      </c>
    </row>
    <row r="216" spans="1:9" ht="14.5" customHeight="1" x14ac:dyDescent="0.35">
      <c r="A216" s="12"/>
      <c r="B216" s="73" t="s">
        <v>193</v>
      </c>
      <c r="C216" s="13"/>
      <c r="D216" s="87">
        <v>0</v>
      </c>
      <c r="E216" s="87">
        <v>0</v>
      </c>
      <c r="F216" s="87">
        <v>0</v>
      </c>
      <c r="G216" s="87">
        <v>0</v>
      </c>
      <c r="H216" s="87">
        <v>0</v>
      </c>
      <c r="I216" s="87">
        <v>0</v>
      </c>
    </row>
    <row r="217" spans="1:9" ht="14.5" customHeight="1" x14ac:dyDescent="0.35">
      <c r="A217" s="12"/>
      <c r="B217" s="73" t="s">
        <v>194</v>
      </c>
      <c r="C217" s="13"/>
      <c r="D217" s="90"/>
      <c r="E217" s="90"/>
      <c r="F217" s="90"/>
      <c r="G217" s="90"/>
      <c r="H217" s="90"/>
      <c r="I217" s="90"/>
    </row>
    <row r="218" spans="1:9" ht="14.5" customHeight="1" x14ac:dyDescent="0.35">
      <c r="A218" s="12"/>
      <c r="B218" s="73" t="s">
        <v>195</v>
      </c>
      <c r="C218" s="13"/>
      <c r="D218" s="87">
        <v>1923764</v>
      </c>
      <c r="E218" s="87">
        <v>2815758</v>
      </c>
      <c r="F218" s="87">
        <v>7611407</v>
      </c>
      <c r="G218" s="87">
        <v>14189162</v>
      </c>
      <c r="H218" s="87">
        <v>6130000</v>
      </c>
      <c r="I218" s="87">
        <v>7830000</v>
      </c>
    </row>
    <row r="219" spans="1:9" ht="14.5" customHeight="1" x14ac:dyDescent="0.35">
      <c r="A219" s="12"/>
      <c r="B219" s="73" t="s">
        <v>196</v>
      </c>
      <c r="C219" s="13"/>
      <c r="D219" s="87">
        <v>323242</v>
      </c>
      <c r="E219" s="87">
        <v>732127</v>
      </c>
      <c r="F219" s="101">
        <v>4645770</v>
      </c>
      <c r="G219" s="101">
        <v>8618304</v>
      </c>
      <c r="H219" s="107">
        <v>391000</v>
      </c>
      <c r="I219" s="107">
        <v>0</v>
      </c>
    </row>
    <row r="220" spans="1:9" ht="14.5" customHeight="1" x14ac:dyDescent="0.35">
      <c r="A220" s="12"/>
      <c r="B220" s="73" t="s">
        <v>197</v>
      </c>
      <c r="C220" s="13"/>
      <c r="D220" s="87">
        <v>1539978</v>
      </c>
      <c r="E220" s="87">
        <v>2023924</v>
      </c>
      <c r="F220" s="87">
        <v>2867195</v>
      </c>
      <c r="G220" s="87">
        <v>3462122</v>
      </c>
      <c r="H220" s="87">
        <v>5659000</v>
      </c>
      <c r="I220" s="87">
        <v>7535000</v>
      </c>
    </row>
    <row r="221" spans="1:9" ht="14.5" customHeight="1" x14ac:dyDescent="0.35">
      <c r="A221" s="12"/>
      <c r="B221" s="73" t="s">
        <v>198</v>
      </c>
      <c r="C221" s="13"/>
      <c r="D221" s="87">
        <v>0</v>
      </c>
      <c r="E221" s="87">
        <v>0</v>
      </c>
      <c r="F221" s="87">
        <v>0</v>
      </c>
      <c r="G221" s="101">
        <v>2035269</v>
      </c>
      <c r="H221" s="87">
        <v>0</v>
      </c>
      <c r="I221" s="87">
        <v>0</v>
      </c>
    </row>
    <row r="222" spans="1:9" ht="14.5" customHeight="1" x14ac:dyDescent="0.35">
      <c r="A222" s="12"/>
      <c r="B222" s="73" t="s">
        <v>199</v>
      </c>
      <c r="C222" s="13"/>
      <c r="D222" s="90"/>
      <c r="E222" s="90"/>
      <c r="F222" s="90"/>
      <c r="G222" s="90"/>
      <c r="H222" s="90"/>
      <c r="I222" s="90"/>
    </row>
    <row r="223" spans="1:9" ht="14.5" customHeight="1" x14ac:dyDescent="0.35">
      <c r="A223" s="12"/>
      <c r="B223" s="73" t="s">
        <v>200</v>
      </c>
      <c r="C223" s="13"/>
      <c r="D223" s="87">
        <v>60544</v>
      </c>
      <c r="E223" s="87">
        <v>59707</v>
      </c>
      <c r="F223" s="87">
        <v>98442</v>
      </c>
      <c r="G223" s="87">
        <v>73467</v>
      </c>
      <c r="H223" s="87">
        <v>80000</v>
      </c>
      <c r="I223" s="87">
        <v>295000</v>
      </c>
    </row>
    <row r="224" spans="1:9" ht="14.5" customHeight="1" x14ac:dyDescent="0.35">
      <c r="A224" s="12"/>
      <c r="B224" s="73" t="s">
        <v>201</v>
      </c>
      <c r="C224" s="13"/>
      <c r="D224" s="87">
        <v>39571</v>
      </c>
      <c r="E224" s="87">
        <v>-883116</v>
      </c>
      <c r="F224" s="87">
        <v>-55211</v>
      </c>
      <c r="G224" s="87">
        <v>-1921742</v>
      </c>
      <c r="H224" s="87">
        <v>0</v>
      </c>
      <c r="I224" s="87">
        <v>0</v>
      </c>
    </row>
    <row r="225" spans="1:9" ht="14.5" customHeight="1" x14ac:dyDescent="0.35">
      <c r="A225" s="12"/>
      <c r="B225" s="73" t="s">
        <v>202</v>
      </c>
      <c r="C225" s="13"/>
      <c r="D225" s="87">
        <v>0</v>
      </c>
      <c r="E225" s="87">
        <v>0</v>
      </c>
      <c r="F225" s="101">
        <v>5820989</v>
      </c>
      <c r="G225" s="87">
        <v>460000</v>
      </c>
      <c r="H225" s="87">
        <v>0</v>
      </c>
      <c r="I225" s="87">
        <v>0</v>
      </c>
    </row>
    <row r="226" spans="1:9" ht="14.5" customHeight="1" x14ac:dyDescent="0.35">
      <c r="A226" s="12"/>
      <c r="B226" s="73" t="s">
        <v>203</v>
      </c>
      <c r="C226" s="13"/>
      <c r="D226" s="87">
        <v>0</v>
      </c>
      <c r="E226" s="87">
        <v>0</v>
      </c>
      <c r="F226" s="87">
        <v>0</v>
      </c>
      <c r="G226" s="87">
        <v>0</v>
      </c>
      <c r="H226" s="87">
        <v>0</v>
      </c>
      <c r="I226" s="87">
        <v>0</v>
      </c>
    </row>
    <row r="227" spans="1:9" ht="14.5" customHeight="1" x14ac:dyDescent="0.35">
      <c r="A227" s="12"/>
      <c r="B227" s="73" t="s">
        <v>204</v>
      </c>
      <c r="C227" s="13"/>
      <c r="D227" s="87">
        <v>887656</v>
      </c>
      <c r="E227" s="87">
        <v>1027280</v>
      </c>
      <c r="F227" s="101">
        <v>1165766</v>
      </c>
      <c r="G227" s="87">
        <v>1184858</v>
      </c>
      <c r="H227" s="87">
        <v>290000</v>
      </c>
      <c r="I227" s="87">
        <v>0</v>
      </c>
    </row>
    <row r="228" spans="1:9" ht="14.5" customHeight="1" x14ac:dyDescent="0.35">
      <c r="A228" s="12"/>
      <c r="B228" s="14"/>
      <c r="C228" s="14"/>
      <c r="D228" s="7"/>
      <c r="E228" s="7"/>
      <c r="F228" s="7"/>
      <c r="G228" s="7"/>
      <c r="H228" s="7"/>
      <c r="I228" s="88"/>
    </row>
    <row r="229" spans="1:9" ht="14.5" customHeight="1" x14ac:dyDescent="0.35">
      <c r="A229" s="12"/>
      <c r="B229" s="73" t="s">
        <v>205</v>
      </c>
      <c r="C229" s="13"/>
      <c r="D229" s="87">
        <v>6734431</v>
      </c>
      <c r="E229" s="87">
        <v>5944741</v>
      </c>
      <c r="F229" s="87">
        <v>-5588205</v>
      </c>
      <c r="G229" s="87">
        <v>-4364048</v>
      </c>
      <c r="H229" s="87">
        <v>4639000</v>
      </c>
      <c r="I229" s="87">
        <v>-6655000</v>
      </c>
    </row>
    <row r="230" spans="1:9" ht="14.5" customHeight="1" x14ac:dyDescent="0.35">
      <c r="A230" s="12"/>
      <c r="B230" s="73" t="s">
        <v>206</v>
      </c>
      <c r="C230" s="13"/>
      <c r="D230" s="87">
        <v>12678093</v>
      </c>
      <c r="E230" s="87">
        <v>13608907</v>
      </c>
      <c r="F230" s="87">
        <v>13838112</v>
      </c>
      <c r="G230" s="87">
        <v>17056990</v>
      </c>
      <c r="H230" s="87">
        <v>17952000</v>
      </c>
      <c r="I230" s="87">
        <v>6763000</v>
      </c>
    </row>
    <row r="231" spans="1:9" ht="14.5" customHeight="1" x14ac:dyDescent="0.35">
      <c r="A231" s="12"/>
      <c r="B231" s="14"/>
      <c r="C231" s="14"/>
      <c r="D231" s="7"/>
      <c r="E231" s="7"/>
      <c r="F231" s="7"/>
      <c r="G231" s="7"/>
      <c r="H231" s="7"/>
      <c r="I231" s="88"/>
    </row>
    <row r="232" spans="1:9" ht="14.5" customHeight="1" x14ac:dyDescent="0.35">
      <c r="A232" s="12"/>
      <c r="B232" s="73" t="s">
        <v>207</v>
      </c>
      <c r="C232" s="13"/>
      <c r="D232" s="87">
        <v>-1437889</v>
      </c>
      <c r="E232" s="87">
        <v>-581178</v>
      </c>
      <c r="F232" s="87">
        <v>-2950093</v>
      </c>
      <c r="G232" s="87">
        <v>-5292629</v>
      </c>
      <c r="H232" s="87">
        <v>-3768000</v>
      </c>
      <c r="I232" s="87">
        <v>-2285000</v>
      </c>
    </row>
    <row r="233" spans="1:9" ht="14.5" customHeight="1" x14ac:dyDescent="0.35">
      <c r="A233" s="12"/>
      <c r="B233" s="73" t="s">
        <v>208</v>
      </c>
      <c r="C233" s="13"/>
      <c r="D233" s="87">
        <v>0</v>
      </c>
      <c r="E233" s="87">
        <v>0</v>
      </c>
      <c r="F233" s="87">
        <v>0</v>
      </c>
      <c r="G233" s="87">
        <v>0</v>
      </c>
      <c r="H233" s="87">
        <v>0</v>
      </c>
      <c r="I233" s="87">
        <v>0</v>
      </c>
    </row>
    <row r="234" spans="1:9" ht="14.5" customHeight="1" x14ac:dyDescent="0.35">
      <c r="A234" s="12"/>
      <c r="B234" s="73" t="s">
        <v>209</v>
      </c>
      <c r="C234" s="13"/>
      <c r="D234" s="87">
        <v>0</v>
      </c>
      <c r="E234" s="87">
        <v>0</v>
      </c>
      <c r="F234" s="87">
        <v>0</v>
      </c>
      <c r="G234" s="87">
        <v>0</v>
      </c>
      <c r="H234" s="87">
        <v>0</v>
      </c>
      <c r="I234" s="87">
        <v>0</v>
      </c>
    </row>
    <row r="235" spans="1:9" ht="14.5" customHeight="1" x14ac:dyDescent="0.35">
      <c r="A235" s="12"/>
      <c r="B235" s="73" t="s">
        <v>210</v>
      </c>
      <c r="C235" s="13"/>
      <c r="D235" s="87">
        <v>0</v>
      </c>
      <c r="E235" s="87">
        <v>0</v>
      </c>
      <c r="F235" s="87">
        <v>0</v>
      </c>
      <c r="G235" s="87">
        <v>0</v>
      </c>
      <c r="H235" s="87">
        <v>0</v>
      </c>
      <c r="I235" s="87">
        <v>0</v>
      </c>
    </row>
    <row r="236" spans="1:9" ht="14.5" customHeight="1" x14ac:dyDescent="0.35">
      <c r="A236" s="12"/>
      <c r="B236" s="73" t="s">
        <v>211</v>
      </c>
      <c r="C236" s="13"/>
      <c r="D236" s="87">
        <v>0</v>
      </c>
      <c r="E236" s="87">
        <v>0</v>
      </c>
      <c r="F236" s="87">
        <v>0</v>
      </c>
      <c r="G236" s="87">
        <v>0</v>
      </c>
      <c r="H236" s="87">
        <v>0</v>
      </c>
      <c r="I236" s="87">
        <v>0</v>
      </c>
    </row>
    <row r="237" spans="1:9" ht="14.5" customHeight="1" x14ac:dyDescent="0.35">
      <c r="A237" s="12"/>
      <c r="B237" s="73" t="s">
        <v>212</v>
      </c>
      <c r="C237" s="13"/>
      <c r="D237" s="87">
        <v>18579</v>
      </c>
      <c r="E237" s="87">
        <v>31754</v>
      </c>
      <c r="F237" s="87">
        <v>29694</v>
      </c>
      <c r="G237" s="87">
        <v>35629</v>
      </c>
      <c r="H237" s="87">
        <v>0</v>
      </c>
      <c r="I237" s="87">
        <v>0</v>
      </c>
    </row>
    <row r="238" spans="1:9" ht="14.5" customHeight="1" x14ac:dyDescent="0.35">
      <c r="A238" s="12"/>
      <c r="B238" s="73" t="s">
        <v>213</v>
      </c>
      <c r="C238" s="13"/>
      <c r="D238" s="87">
        <v>0</v>
      </c>
      <c r="E238" s="87">
        <v>0</v>
      </c>
      <c r="F238" s="87">
        <v>0</v>
      </c>
      <c r="G238" s="87">
        <v>35629</v>
      </c>
      <c r="H238" s="87">
        <v>0</v>
      </c>
      <c r="I238" s="87">
        <v>0</v>
      </c>
    </row>
    <row r="239" spans="1:9" ht="14.5" customHeight="1" x14ac:dyDescent="0.35">
      <c r="A239" s="12"/>
      <c r="B239" s="73" t="s">
        <v>214</v>
      </c>
      <c r="C239" s="13"/>
      <c r="D239" s="90"/>
      <c r="E239" s="90"/>
      <c r="F239" s="90"/>
      <c r="G239" s="90"/>
      <c r="H239" s="90"/>
      <c r="I239" s="90"/>
    </row>
    <row r="240" spans="1:9" ht="14.5" customHeight="1" x14ac:dyDescent="0.35">
      <c r="A240" s="12"/>
      <c r="B240" s="73" t="s">
        <v>215</v>
      </c>
      <c r="C240" s="13"/>
      <c r="D240" s="87">
        <v>0</v>
      </c>
      <c r="E240" s="87">
        <v>0</v>
      </c>
      <c r="F240" s="87">
        <v>0</v>
      </c>
      <c r="G240" s="87">
        <v>0</v>
      </c>
      <c r="H240" s="87">
        <v>0</v>
      </c>
      <c r="I240" s="87">
        <v>0</v>
      </c>
    </row>
    <row r="241" spans="1:9" ht="14.5" customHeight="1" x14ac:dyDescent="0.35">
      <c r="A241" s="12"/>
      <c r="B241" s="73" t="s">
        <v>216</v>
      </c>
      <c r="C241" s="13"/>
      <c r="D241" s="87">
        <v>0</v>
      </c>
      <c r="E241" s="87">
        <v>0</v>
      </c>
      <c r="F241" s="87">
        <v>0</v>
      </c>
      <c r="G241" s="87">
        <v>0</v>
      </c>
      <c r="H241" s="87">
        <v>0</v>
      </c>
      <c r="I241" s="87">
        <v>0</v>
      </c>
    </row>
    <row r="242" spans="1:9" ht="14.5" customHeight="1" x14ac:dyDescent="0.35">
      <c r="A242" s="12"/>
      <c r="B242" s="73" t="s">
        <v>217</v>
      </c>
      <c r="C242" s="13"/>
      <c r="D242" s="87">
        <v>0</v>
      </c>
      <c r="E242" s="87">
        <v>0</v>
      </c>
      <c r="F242" s="87">
        <v>0</v>
      </c>
      <c r="G242" s="87">
        <v>0</v>
      </c>
      <c r="H242" s="87">
        <v>0</v>
      </c>
      <c r="I242" s="87">
        <v>0</v>
      </c>
    </row>
    <row r="243" spans="1:9" ht="14.5" customHeight="1" x14ac:dyDescent="0.35">
      <c r="A243" s="12"/>
      <c r="B243" s="73" t="s">
        <v>218</v>
      </c>
      <c r="C243" s="13"/>
      <c r="D243" s="90"/>
      <c r="E243" s="90"/>
      <c r="F243" s="90"/>
      <c r="G243" s="90"/>
      <c r="H243" s="90"/>
      <c r="I243" s="90"/>
    </row>
    <row r="244" spans="1:9" ht="14.5" customHeight="1" x14ac:dyDescent="0.35">
      <c r="A244" s="12"/>
      <c r="B244" s="73" t="s">
        <v>219</v>
      </c>
      <c r="C244" s="13"/>
      <c r="D244" s="87">
        <v>18579</v>
      </c>
      <c r="E244" s="87">
        <v>31754</v>
      </c>
      <c r="F244" s="87">
        <v>29694</v>
      </c>
      <c r="G244" s="87">
        <v>0</v>
      </c>
      <c r="H244" s="87">
        <v>0</v>
      </c>
      <c r="I244" s="87">
        <v>0</v>
      </c>
    </row>
    <row r="245" spans="1:9" ht="14.5" customHeight="1" x14ac:dyDescent="0.35">
      <c r="A245" s="12"/>
      <c r="B245" s="73" t="s">
        <v>214</v>
      </c>
      <c r="C245" s="13"/>
      <c r="D245" s="87">
        <v>0</v>
      </c>
      <c r="E245" s="87">
        <v>0</v>
      </c>
      <c r="F245" s="87">
        <v>0</v>
      </c>
      <c r="G245" s="87">
        <v>0</v>
      </c>
      <c r="H245" s="90"/>
      <c r="I245" s="90"/>
    </row>
    <row r="246" spans="1:9" ht="14.5" customHeight="1" x14ac:dyDescent="0.35">
      <c r="A246" s="12"/>
      <c r="B246" s="73" t="s">
        <v>215</v>
      </c>
      <c r="C246" s="13"/>
      <c r="D246" s="87">
        <v>0</v>
      </c>
      <c r="E246" s="87">
        <v>0</v>
      </c>
      <c r="F246" s="87">
        <v>0</v>
      </c>
      <c r="G246" s="87">
        <v>0</v>
      </c>
      <c r="H246" s="87">
        <v>0</v>
      </c>
      <c r="I246" s="87">
        <v>0</v>
      </c>
    </row>
    <row r="247" spans="1:9" ht="14.5" customHeight="1" x14ac:dyDescent="0.35">
      <c r="A247" s="12"/>
      <c r="B247" s="73" t="s">
        <v>220</v>
      </c>
      <c r="C247" s="13"/>
      <c r="D247" s="87">
        <v>537318</v>
      </c>
      <c r="E247" s="87">
        <v>676170</v>
      </c>
      <c r="F247" s="87">
        <v>2835722</v>
      </c>
      <c r="G247" s="87">
        <v>4515936</v>
      </c>
      <c r="H247" s="87">
        <v>3768000</v>
      </c>
      <c r="I247" s="87">
        <v>2285000</v>
      </c>
    </row>
    <row r="248" spans="1:9" ht="14.5" customHeight="1" x14ac:dyDescent="0.35">
      <c r="A248" s="12"/>
      <c r="B248" s="73" t="s">
        <v>221</v>
      </c>
      <c r="C248" s="13"/>
      <c r="D248" s="90"/>
      <c r="E248" s="90"/>
      <c r="F248" s="90"/>
      <c r="G248" s="90"/>
      <c r="H248" s="90"/>
      <c r="I248" s="90"/>
    </row>
    <row r="249" spans="1:9" ht="14.5" customHeight="1" x14ac:dyDescent="0.35">
      <c r="A249" s="12"/>
      <c r="B249" s="73" t="s">
        <v>211</v>
      </c>
      <c r="C249" s="13"/>
      <c r="D249" s="87">
        <v>0</v>
      </c>
      <c r="E249" s="87">
        <v>0</v>
      </c>
      <c r="F249" s="87">
        <v>0</v>
      </c>
      <c r="G249" s="87">
        <v>0</v>
      </c>
      <c r="H249" s="90"/>
      <c r="I249" s="90"/>
    </row>
    <row r="250" spans="1:9" ht="14.5" customHeight="1" x14ac:dyDescent="0.35">
      <c r="A250" s="12"/>
      <c r="B250" s="73" t="s">
        <v>222</v>
      </c>
      <c r="C250" s="13"/>
      <c r="D250" s="87">
        <v>-919150</v>
      </c>
      <c r="E250" s="87">
        <v>63238</v>
      </c>
      <c r="F250" s="87">
        <v>-144065</v>
      </c>
      <c r="G250" s="87">
        <v>-812322</v>
      </c>
      <c r="H250" s="87">
        <v>0</v>
      </c>
      <c r="I250" s="87">
        <v>0</v>
      </c>
    </row>
    <row r="251" spans="1:9" ht="14.5" customHeight="1" x14ac:dyDescent="0.35">
      <c r="A251" s="12"/>
      <c r="B251" s="14"/>
      <c r="C251" s="14"/>
      <c r="D251" s="7"/>
      <c r="E251" s="7"/>
      <c r="F251" s="7"/>
      <c r="G251" s="7"/>
      <c r="H251" s="7"/>
      <c r="I251" s="88"/>
    </row>
    <row r="252" spans="1:9" ht="14.5" customHeight="1" x14ac:dyDescent="0.35">
      <c r="A252" s="12"/>
      <c r="B252" s="73" t="s">
        <v>223</v>
      </c>
      <c r="C252" s="13"/>
      <c r="D252" s="87">
        <v>0</v>
      </c>
      <c r="E252" s="87">
        <v>0</v>
      </c>
      <c r="F252" s="87">
        <v>-317990</v>
      </c>
      <c r="G252" s="87">
        <v>1729</v>
      </c>
      <c r="H252" s="87">
        <v>0</v>
      </c>
      <c r="I252" s="87">
        <v>0</v>
      </c>
    </row>
    <row r="253" spans="1:9" ht="14.5" customHeight="1" x14ac:dyDescent="0.35">
      <c r="A253" s="12"/>
      <c r="B253" s="73" t="s">
        <v>224</v>
      </c>
      <c r="C253" s="13"/>
      <c r="D253" s="87">
        <v>0</v>
      </c>
      <c r="E253" s="87">
        <v>0</v>
      </c>
      <c r="F253" s="87">
        <v>0</v>
      </c>
      <c r="G253" s="87">
        <v>1729</v>
      </c>
      <c r="H253" s="87">
        <v>0</v>
      </c>
      <c r="I253" s="87">
        <v>0</v>
      </c>
    </row>
    <row r="254" spans="1:9" ht="14.5" customHeight="1" x14ac:dyDescent="0.35">
      <c r="A254" s="12"/>
      <c r="B254" s="73" t="s">
        <v>225</v>
      </c>
      <c r="C254" s="13"/>
      <c r="D254" s="87">
        <v>0</v>
      </c>
      <c r="E254" s="87">
        <v>0</v>
      </c>
      <c r="F254" s="87">
        <v>0</v>
      </c>
      <c r="G254" s="87">
        <v>0</v>
      </c>
      <c r="H254" s="87">
        <v>0</v>
      </c>
      <c r="I254" s="87">
        <v>0</v>
      </c>
    </row>
    <row r="255" spans="1:9" ht="14.5" customHeight="1" x14ac:dyDescent="0.35">
      <c r="A255" s="12"/>
      <c r="B255" s="73" t="s">
        <v>226</v>
      </c>
      <c r="C255" s="13"/>
      <c r="D255" s="87">
        <v>0</v>
      </c>
      <c r="E255" s="87">
        <v>0</v>
      </c>
      <c r="F255" s="87">
        <v>0</v>
      </c>
      <c r="G255" s="87">
        <v>0</v>
      </c>
      <c r="H255" s="87">
        <v>0</v>
      </c>
      <c r="I255" s="87">
        <v>0</v>
      </c>
    </row>
    <row r="256" spans="1:9" ht="14.5" customHeight="1" x14ac:dyDescent="0.35">
      <c r="A256" s="12"/>
      <c r="B256" s="73" t="s">
        <v>227</v>
      </c>
      <c r="C256" s="13"/>
      <c r="D256" s="87">
        <v>0</v>
      </c>
      <c r="E256" s="87">
        <v>0</v>
      </c>
      <c r="F256" s="87">
        <v>0</v>
      </c>
      <c r="G256" s="87">
        <v>0</v>
      </c>
      <c r="H256" s="87">
        <v>0</v>
      </c>
      <c r="I256" s="87">
        <v>0</v>
      </c>
    </row>
    <row r="257" spans="1:9" ht="14.5" customHeight="1" x14ac:dyDescent="0.35">
      <c r="A257" s="12"/>
      <c r="B257" s="73" t="s">
        <v>228</v>
      </c>
      <c r="C257" s="13"/>
      <c r="D257" s="87">
        <v>0</v>
      </c>
      <c r="E257" s="87">
        <v>0</v>
      </c>
      <c r="F257" s="87">
        <v>0</v>
      </c>
      <c r="G257" s="87">
        <v>1729</v>
      </c>
      <c r="H257" s="87">
        <v>0</v>
      </c>
      <c r="I257" s="87">
        <v>0</v>
      </c>
    </row>
    <row r="258" spans="1:9" ht="14.5" customHeight="1" x14ac:dyDescent="0.35">
      <c r="A258" s="12"/>
      <c r="B258" s="73" t="s">
        <v>229</v>
      </c>
      <c r="C258" s="13"/>
      <c r="D258" s="87">
        <v>0</v>
      </c>
      <c r="E258" s="87">
        <v>0</v>
      </c>
      <c r="F258" s="87">
        <v>0</v>
      </c>
      <c r="G258" s="87">
        <v>0</v>
      </c>
      <c r="H258" s="87">
        <v>0</v>
      </c>
      <c r="I258" s="87">
        <v>0</v>
      </c>
    </row>
    <row r="259" spans="1:9" ht="14.5" customHeight="1" x14ac:dyDescent="0.35">
      <c r="A259" s="12"/>
      <c r="B259" s="73" t="s">
        <v>230</v>
      </c>
      <c r="C259" s="13"/>
      <c r="D259" s="87">
        <v>0</v>
      </c>
      <c r="E259" s="87">
        <v>0</v>
      </c>
      <c r="F259" s="87">
        <v>317990</v>
      </c>
      <c r="G259" s="87">
        <v>0</v>
      </c>
      <c r="H259" s="87">
        <v>0</v>
      </c>
      <c r="I259" s="87">
        <v>0</v>
      </c>
    </row>
    <row r="260" spans="1:9" ht="14.5" customHeight="1" x14ac:dyDescent="0.35">
      <c r="A260" s="12"/>
      <c r="B260" s="73" t="s">
        <v>231</v>
      </c>
      <c r="C260" s="13"/>
      <c r="D260" s="87">
        <v>0</v>
      </c>
      <c r="E260" s="87">
        <v>0</v>
      </c>
      <c r="F260" s="87">
        <v>0</v>
      </c>
      <c r="G260" s="87">
        <v>0</v>
      </c>
      <c r="H260" s="87">
        <v>0</v>
      </c>
      <c r="I260" s="87">
        <v>0</v>
      </c>
    </row>
    <row r="261" spans="1:9" ht="14.5" customHeight="1" x14ac:dyDescent="0.35">
      <c r="A261" s="12"/>
      <c r="B261" s="73" t="s">
        <v>232</v>
      </c>
      <c r="C261" s="13"/>
      <c r="D261" s="87">
        <v>0</v>
      </c>
      <c r="E261" s="87">
        <v>0</v>
      </c>
      <c r="F261" s="87">
        <v>0</v>
      </c>
      <c r="G261" s="87">
        <v>0</v>
      </c>
      <c r="H261" s="87">
        <v>0</v>
      </c>
      <c r="I261" s="87">
        <v>0</v>
      </c>
    </row>
    <row r="262" spans="1:9" ht="14.5" customHeight="1" x14ac:dyDescent="0.35">
      <c r="A262" s="12"/>
      <c r="B262" s="73" t="s">
        <v>233</v>
      </c>
      <c r="C262" s="13"/>
      <c r="D262" s="87">
        <v>0</v>
      </c>
      <c r="E262" s="87">
        <v>0</v>
      </c>
      <c r="F262" s="87">
        <v>0</v>
      </c>
      <c r="G262" s="87">
        <v>0</v>
      </c>
      <c r="H262" s="87">
        <v>0</v>
      </c>
      <c r="I262" s="87">
        <v>0</v>
      </c>
    </row>
    <row r="263" spans="1:9" ht="14.5" customHeight="1" x14ac:dyDescent="0.35">
      <c r="A263" s="12"/>
      <c r="B263" s="73" t="s">
        <v>234</v>
      </c>
      <c r="C263" s="13"/>
      <c r="D263" s="87">
        <v>0</v>
      </c>
      <c r="E263" s="87">
        <v>0</v>
      </c>
      <c r="F263" s="87">
        <v>317990</v>
      </c>
      <c r="G263" s="87">
        <v>0</v>
      </c>
      <c r="H263" s="87">
        <v>0</v>
      </c>
      <c r="I263" s="87">
        <v>0</v>
      </c>
    </row>
    <row r="264" spans="1:9" ht="14.5" customHeight="1" x14ac:dyDescent="0.35">
      <c r="A264" s="12"/>
      <c r="B264" s="73" t="s">
        <v>235</v>
      </c>
      <c r="C264" s="13"/>
      <c r="D264" s="87">
        <v>0</v>
      </c>
      <c r="E264" s="87">
        <v>0</v>
      </c>
      <c r="F264" s="87">
        <v>0</v>
      </c>
      <c r="G264" s="87">
        <v>0</v>
      </c>
      <c r="H264" s="87">
        <v>0</v>
      </c>
      <c r="I264" s="87">
        <v>0</v>
      </c>
    </row>
    <row r="265" spans="1:9" ht="14.5" customHeight="1" x14ac:dyDescent="0.35">
      <c r="A265" s="12"/>
      <c r="B265" s="14"/>
      <c r="C265" s="14"/>
      <c r="D265" s="7"/>
      <c r="E265" s="7"/>
      <c r="F265" s="7"/>
      <c r="G265" s="7"/>
      <c r="H265" s="7"/>
      <c r="I265" s="88"/>
    </row>
    <row r="266" spans="1:9" ht="14.5" customHeight="1" x14ac:dyDescent="0.35">
      <c r="A266" s="12"/>
      <c r="B266" s="73" t="s">
        <v>236</v>
      </c>
      <c r="C266" s="13"/>
      <c r="D266" s="87">
        <v>0</v>
      </c>
      <c r="E266" s="87">
        <v>0</v>
      </c>
      <c r="F266" s="87">
        <v>0</v>
      </c>
      <c r="G266" s="87">
        <v>0</v>
      </c>
      <c r="H266" s="87">
        <v>0</v>
      </c>
      <c r="I266" s="87">
        <v>1516000</v>
      </c>
    </row>
    <row r="267" spans="1:9" ht="14.5" customHeight="1" x14ac:dyDescent="0.35">
      <c r="A267" s="12"/>
      <c r="B267" s="73" t="s">
        <v>237</v>
      </c>
      <c r="C267" s="13"/>
      <c r="D267" s="87">
        <v>0</v>
      </c>
      <c r="E267" s="87">
        <v>0</v>
      </c>
      <c r="F267" s="87">
        <v>0</v>
      </c>
      <c r="G267" s="87">
        <v>0</v>
      </c>
      <c r="H267" s="87">
        <v>0</v>
      </c>
      <c r="I267" s="87">
        <v>1516000</v>
      </c>
    </row>
    <row r="268" spans="1:9" ht="14.5" customHeight="1" x14ac:dyDescent="0.35">
      <c r="A268" s="12"/>
      <c r="B268" s="73" t="s">
        <v>238</v>
      </c>
      <c r="C268" s="13"/>
      <c r="D268" s="87">
        <v>0</v>
      </c>
      <c r="E268" s="87">
        <v>0</v>
      </c>
      <c r="F268" s="87">
        <v>0</v>
      </c>
      <c r="G268" s="87">
        <v>0</v>
      </c>
      <c r="H268" s="87">
        <v>0</v>
      </c>
      <c r="I268" s="90"/>
    </row>
    <row r="269" spans="1:9" ht="14.5" customHeight="1" x14ac:dyDescent="0.35">
      <c r="A269" s="12"/>
      <c r="B269" s="73" t="s">
        <v>239</v>
      </c>
      <c r="C269" s="13"/>
      <c r="D269" s="87">
        <v>0</v>
      </c>
      <c r="E269" s="87">
        <v>0</v>
      </c>
      <c r="F269" s="87">
        <v>0</v>
      </c>
      <c r="G269" s="87">
        <v>0</v>
      </c>
      <c r="H269" s="87">
        <v>0</v>
      </c>
      <c r="I269" s="87">
        <v>0</v>
      </c>
    </row>
    <row r="270" spans="1:9" ht="14.5" customHeight="1" x14ac:dyDescent="0.35">
      <c r="A270" s="12"/>
      <c r="B270" s="73" t="s">
        <v>240</v>
      </c>
      <c r="C270" s="13"/>
      <c r="D270" s="87">
        <v>0</v>
      </c>
      <c r="E270" s="87">
        <v>0</v>
      </c>
      <c r="F270" s="87">
        <v>0</v>
      </c>
      <c r="G270" s="87">
        <v>0</v>
      </c>
      <c r="H270" s="87">
        <v>0</v>
      </c>
      <c r="I270" s="87">
        <v>0</v>
      </c>
    </row>
    <row r="271" spans="1:9" ht="14.5" customHeight="1" x14ac:dyDescent="0.35">
      <c r="A271" s="12"/>
      <c r="B271" s="73" t="s">
        <v>241</v>
      </c>
      <c r="C271" s="13"/>
      <c r="D271" s="87">
        <v>0</v>
      </c>
      <c r="E271" s="87">
        <v>0</v>
      </c>
      <c r="F271" s="87">
        <v>0</v>
      </c>
      <c r="G271" s="87">
        <v>0</v>
      </c>
      <c r="H271" s="87">
        <v>0</v>
      </c>
      <c r="I271" s="87">
        <v>0</v>
      </c>
    </row>
    <row r="272" spans="1:9" ht="14.5" customHeight="1" x14ac:dyDescent="0.35">
      <c r="A272" s="12"/>
      <c r="B272" s="14"/>
      <c r="C272" s="14"/>
      <c r="D272" s="7"/>
      <c r="E272" s="7"/>
      <c r="F272" s="7"/>
      <c r="G272" s="7"/>
      <c r="H272" s="7"/>
      <c r="I272" s="88"/>
    </row>
    <row r="273" spans="1:9" ht="14.5" customHeight="1" x14ac:dyDescent="0.35">
      <c r="A273" s="12"/>
      <c r="B273" s="73" t="s">
        <v>242</v>
      </c>
      <c r="C273" s="13"/>
      <c r="D273" s="87">
        <v>5296542</v>
      </c>
      <c r="E273" s="87">
        <v>5363563</v>
      </c>
      <c r="F273" s="87">
        <v>-8856288</v>
      </c>
      <c r="G273" s="87">
        <v>-9654948</v>
      </c>
      <c r="H273" s="87">
        <v>871000</v>
      </c>
      <c r="I273" s="87">
        <v>-7424000</v>
      </c>
    </row>
    <row r="274" spans="1:9" ht="14.5" customHeight="1" x14ac:dyDescent="0.35">
      <c r="A274" s="12"/>
      <c r="B274" s="73" t="s">
        <v>243</v>
      </c>
      <c r="C274" s="13"/>
      <c r="D274" s="87">
        <v>1616030</v>
      </c>
      <c r="E274" s="87">
        <v>1567196</v>
      </c>
      <c r="F274" s="87">
        <v>-1139389</v>
      </c>
      <c r="G274" s="87">
        <v>-69690</v>
      </c>
      <c r="H274" s="87">
        <v>471000</v>
      </c>
      <c r="I274" s="87">
        <v>0</v>
      </c>
    </row>
    <row r="275" spans="1:9" ht="14.5" customHeight="1" x14ac:dyDescent="0.35">
      <c r="A275" s="12"/>
      <c r="B275" s="73" t="s">
        <v>244</v>
      </c>
      <c r="C275" s="13"/>
      <c r="D275" s="87">
        <v>1676808</v>
      </c>
      <c r="E275" s="87">
        <v>1509797</v>
      </c>
      <c r="F275" s="87">
        <v>357184</v>
      </c>
      <c r="G275" s="87">
        <v>122430</v>
      </c>
      <c r="H275" s="87">
        <v>471000</v>
      </c>
      <c r="I275" s="87">
        <v>0</v>
      </c>
    </row>
    <row r="276" spans="1:9" ht="14.5" customHeight="1" x14ac:dyDescent="0.35">
      <c r="A276" s="12"/>
      <c r="B276" s="73" t="s">
        <v>245</v>
      </c>
      <c r="C276" s="13"/>
      <c r="D276" s="87">
        <v>0</v>
      </c>
      <c r="E276" s="87">
        <v>0</v>
      </c>
      <c r="F276" s="87">
        <v>14384</v>
      </c>
      <c r="G276" s="87">
        <v>-17344</v>
      </c>
      <c r="H276" s="87">
        <v>0</v>
      </c>
      <c r="I276" s="87">
        <v>0</v>
      </c>
    </row>
    <row r="277" spans="1:9" ht="14.5" customHeight="1" x14ac:dyDescent="0.35">
      <c r="A277" s="12"/>
      <c r="B277" s="73" t="s">
        <v>246</v>
      </c>
      <c r="C277" s="13"/>
      <c r="D277" s="87">
        <v>-60778</v>
      </c>
      <c r="E277" s="87">
        <v>57399</v>
      </c>
      <c r="F277" s="87">
        <v>-1510957</v>
      </c>
      <c r="G277" s="87">
        <v>-174776</v>
      </c>
      <c r="H277" s="87">
        <v>0</v>
      </c>
      <c r="I277" s="87">
        <v>0</v>
      </c>
    </row>
    <row r="278" spans="1:9" ht="14.5" customHeight="1" x14ac:dyDescent="0.35">
      <c r="A278" s="12"/>
      <c r="B278" s="73" t="s">
        <v>247</v>
      </c>
      <c r="C278" s="13"/>
      <c r="D278" s="90"/>
      <c r="E278" s="90"/>
      <c r="F278" s="90"/>
      <c r="G278" s="90"/>
      <c r="H278" s="87">
        <v>0</v>
      </c>
      <c r="I278" s="87">
        <v>0</v>
      </c>
    </row>
    <row r="279" spans="1:9" ht="14.5" customHeight="1" x14ac:dyDescent="0.35">
      <c r="A279" s="12"/>
      <c r="B279" s="73" t="s">
        <v>248</v>
      </c>
      <c r="C279" s="13"/>
      <c r="D279" s="90"/>
      <c r="E279" s="90"/>
      <c r="F279" s="90"/>
      <c r="G279" s="90"/>
      <c r="H279" s="87">
        <v>0</v>
      </c>
      <c r="I279" s="87">
        <v>0</v>
      </c>
    </row>
    <row r="280" spans="1:9" ht="14.5" customHeight="1" x14ac:dyDescent="0.35">
      <c r="A280" s="12"/>
      <c r="B280" s="73" t="s">
        <v>249</v>
      </c>
      <c r="C280" s="13"/>
      <c r="D280" s="87">
        <v>0</v>
      </c>
      <c r="E280" s="87">
        <v>0</v>
      </c>
      <c r="F280" s="87">
        <v>0</v>
      </c>
      <c r="G280" s="87">
        <v>0</v>
      </c>
      <c r="H280" s="90"/>
      <c r="I280" s="90"/>
    </row>
    <row r="281" spans="1:9" ht="14.5" customHeight="1" x14ac:dyDescent="0.35">
      <c r="A281" s="12"/>
      <c r="B281" s="14"/>
      <c r="C281" s="14"/>
      <c r="D281" s="7"/>
      <c r="E281" s="7"/>
      <c r="F281" s="7"/>
      <c r="G281" s="7"/>
      <c r="H281" s="7"/>
      <c r="I281" s="88"/>
    </row>
    <row r="282" spans="1:9" ht="14.5" customHeight="1" x14ac:dyDescent="0.35">
      <c r="A282" s="12"/>
      <c r="B282" s="73" t="s">
        <v>250</v>
      </c>
      <c r="C282" s="13"/>
      <c r="D282" s="87">
        <v>3680512</v>
      </c>
      <c r="E282" s="87">
        <v>3796367</v>
      </c>
      <c r="F282" s="87">
        <v>-7716899</v>
      </c>
      <c r="G282" s="87">
        <v>-9585258</v>
      </c>
      <c r="H282" s="87">
        <v>400000</v>
      </c>
      <c r="I282" s="87">
        <v>-7424000</v>
      </c>
    </row>
    <row r="283" spans="1:9" ht="14.5" customHeight="1" x14ac:dyDescent="0.35">
      <c r="A283" s="12"/>
      <c r="B283" s="73" t="s">
        <v>251</v>
      </c>
      <c r="C283" s="13"/>
      <c r="D283" s="87">
        <v>0</v>
      </c>
      <c r="E283" s="87">
        <v>0</v>
      </c>
      <c r="F283" s="87">
        <v>0</v>
      </c>
      <c r="G283" s="87">
        <v>0</v>
      </c>
      <c r="H283" s="87">
        <v>0</v>
      </c>
      <c r="I283" s="87">
        <v>0</v>
      </c>
    </row>
    <row r="284" spans="1:9" ht="14.5" customHeight="1" x14ac:dyDescent="0.35">
      <c r="A284" s="12"/>
      <c r="B284" s="73" t="s">
        <v>252</v>
      </c>
      <c r="C284" s="13"/>
      <c r="D284" s="87">
        <v>3680512</v>
      </c>
      <c r="E284" s="87">
        <v>3796367</v>
      </c>
      <c r="F284" s="87">
        <v>-7716899</v>
      </c>
      <c r="G284" s="87">
        <v>-9585258</v>
      </c>
      <c r="H284" s="87">
        <v>400000</v>
      </c>
      <c r="I284" s="87">
        <v>-7424000</v>
      </c>
    </row>
    <row r="285" spans="1:9" ht="14.5" customHeight="1" x14ac:dyDescent="0.35">
      <c r="A285" s="12"/>
      <c r="B285" s="14"/>
      <c r="C285" s="14"/>
      <c r="D285" s="7"/>
      <c r="E285" s="7"/>
      <c r="F285" s="7"/>
      <c r="G285" s="7"/>
      <c r="H285" s="7"/>
      <c r="I285" s="88"/>
    </row>
    <row r="286" spans="1:9" ht="14.5" customHeight="1" x14ac:dyDescent="0.35">
      <c r="A286" s="12"/>
      <c r="B286" s="73" t="s">
        <v>253</v>
      </c>
      <c r="C286" s="13"/>
      <c r="D286" s="99">
        <v>90</v>
      </c>
      <c r="E286" s="99">
        <v>94</v>
      </c>
      <c r="F286" s="99">
        <v>104</v>
      </c>
      <c r="G286" s="99">
        <v>116</v>
      </c>
      <c r="H286" s="99">
        <v>129</v>
      </c>
      <c r="I286" s="105">
        <v>25</v>
      </c>
    </row>
    <row r="287" spans="1:9" ht="14.5" customHeight="1" x14ac:dyDescent="0.35">
      <c r="A287" s="12"/>
      <c r="B287" s="14"/>
      <c r="C287" s="14"/>
      <c r="D287" s="7"/>
      <c r="E287" s="7"/>
      <c r="F287" s="7"/>
      <c r="G287" s="7"/>
      <c r="H287" s="7"/>
      <c r="I287" s="88"/>
    </row>
    <row r="288" spans="1:9" ht="14.5" customHeight="1" x14ac:dyDescent="0.35">
      <c r="A288" s="2"/>
      <c r="D288" s="96"/>
      <c r="E288" s="96"/>
      <c r="F288" s="96"/>
      <c r="G288" s="96"/>
      <c r="H288" s="96"/>
      <c r="I288" s="97"/>
    </row>
    <row r="289" spans="1:9" ht="14.5" customHeight="1" x14ac:dyDescent="0.35">
      <c r="A289" s="19" t="s">
        <v>254</v>
      </c>
      <c r="B289" s="69"/>
      <c r="D289" s="96"/>
      <c r="E289" s="96"/>
      <c r="F289" s="96"/>
      <c r="G289" s="96"/>
      <c r="H289" s="96"/>
      <c r="I289" s="97"/>
    </row>
    <row r="290" spans="1:9" ht="14.5" customHeight="1" x14ac:dyDescent="0.35">
      <c r="A290" s="2"/>
      <c r="D290" s="96"/>
      <c r="E290" s="96"/>
      <c r="F290" s="96"/>
      <c r="G290" s="96"/>
      <c r="H290" s="96"/>
      <c r="I290" s="97"/>
    </row>
    <row r="291" spans="1:9" ht="34" customHeight="1" x14ac:dyDescent="0.35">
      <c r="A291" s="3"/>
      <c r="B291" s="77" t="s">
        <v>1</v>
      </c>
      <c r="C291" s="4"/>
      <c r="D291" s="98" t="s">
        <v>7</v>
      </c>
      <c r="E291" s="98" t="s">
        <v>6</v>
      </c>
      <c r="F291" s="98" t="s">
        <v>5</v>
      </c>
      <c r="G291" s="98" t="s">
        <v>4</v>
      </c>
      <c r="H291" s="98" t="s">
        <v>3</v>
      </c>
      <c r="I291" s="98" t="s">
        <v>2</v>
      </c>
    </row>
    <row r="292" spans="1:9" ht="34" customHeight="1" x14ac:dyDescent="0.35">
      <c r="A292" s="6"/>
      <c r="B292" s="7"/>
      <c r="C292" s="7"/>
      <c r="D292" s="90" t="s">
        <v>393</v>
      </c>
      <c r="E292" s="90" t="s">
        <v>393</v>
      </c>
      <c r="F292" s="90" t="s">
        <v>393</v>
      </c>
      <c r="G292" s="90" t="s">
        <v>393</v>
      </c>
      <c r="H292" s="90" t="s">
        <v>394</v>
      </c>
      <c r="I292" s="90" t="s">
        <v>394</v>
      </c>
    </row>
    <row r="293" spans="1:9" ht="14.5" customHeight="1" x14ac:dyDescent="0.35">
      <c r="A293" s="9"/>
      <c r="B293" s="71" t="s">
        <v>255</v>
      </c>
      <c r="C293" s="10"/>
      <c r="D293" s="11"/>
      <c r="E293" s="11"/>
      <c r="F293" s="11"/>
      <c r="G293" s="11"/>
      <c r="H293" s="11"/>
      <c r="I293" s="94"/>
    </row>
    <row r="294" spans="1:9" ht="14.5" customHeight="1" x14ac:dyDescent="0.35">
      <c r="A294" s="12"/>
      <c r="B294" s="14"/>
      <c r="C294" s="14"/>
      <c r="D294" s="7"/>
      <c r="E294" s="7"/>
      <c r="F294" s="7"/>
      <c r="G294" s="7"/>
      <c r="H294" s="7"/>
      <c r="I294" s="88"/>
    </row>
    <row r="295" spans="1:9" ht="14.5" customHeight="1" x14ac:dyDescent="0.35">
      <c r="A295" s="12"/>
      <c r="B295" s="73" t="s">
        <v>256</v>
      </c>
      <c r="C295" s="13"/>
      <c r="D295" s="100">
        <v>0.8</v>
      </c>
      <c r="E295" s="100">
        <v>0.66</v>
      </c>
      <c r="F295" s="100">
        <v>0.71</v>
      </c>
      <c r="G295" s="100">
        <v>0.68</v>
      </c>
      <c r="H295" s="100">
        <v>0.69</v>
      </c>
      <c r="I295" s="100">
        <v>0.25</v>
      </c>
    </row>
    <row r="296" spans="1:9" ht="14.5" customHeight="1" x14ac:dyDescent="0.35">
      <c r="A296" s="12"/>
      <c r="B296" s="73" t="s">
        <v>257</v>
      </c>
      <c r="C296" s="13"/>
      <c r="D296" s="100">
        <v>1.17</v>
      </c>
      <c r="E296" s="100">
        <v>1.02</v>
      </c>
      <c r="F296" s="100">
        <v>1.06</v>
      </c>
      <c r="G296" s="100">
        <v>1.04</v>
      </c>
      <c r="H296" s="100">
        <v>1.1599999999999999</v>
      </c>
      <c r="I296" s="100">
        <v>0.39</v>
      </c>
    </row>
    <row r="297" spans="1:9" ht="14.5" customHeight="1" x14ac:dyDescent="0.35">
      <c r="A297" s="12"/>
      <c r="B297" s="73" t="s">
        <v>258</v>
      </c>
      <c r="C297" s="13"/>
      <c r="D297" s="100">
        <v>0.6</v>
      </c>
      <c r="E297" s="100">
        <v>0.52</v>
      </c>
      <c r="F297" s="100">
        <v>0.26</v>
      </c>
      <c r="G297" s="100">
        <v>0.33</v>
      </c>
      <c r="H297" s="100">
        <v>0.34</v>
      </c>
      <c r="I297" s="100">
        <v>0.98</v>
      </c>
    </row>
    <row r="298" spans="1:9" ht="14.5" customHeight="1" x14ac:dyDescent="0.35">
      <c r="A298" s="12"/>
      <c r="B298" s="73" t="s">
        <v>259</v>
      </c>
      <c r="C298" s="13"/>
      <c r="D298" s="100">
        <v>0.4</v>
      </c>
      <c r="E298" s="100">
        <v>0.48</v>
      </c>
      <c r="F298" s="100">
        <v>0.74</v>
      </c>
      <c r="G298" s="100">
        <v>0.67</v>
      </c>
      <c r="H298" s="100">
        <v>0.66</v>
      </c>
      <c r="I298" s="100">
        <v>0.02</v>
      </c>
    </row>
    <row r="299" spans="1:9" ht="14.5" customHeight="1" x14ac:dyDescent="0.35">
      <c r="A299" s="12"/>
      <c r="B299" s="73" t="s">
        <v>260</v>
      </c>
      <c r="C299" s="13"/>
      <c r="D299" s="100">
        <v>2.4700000000000002</v>
      </c>
      <c r="E299" s="100">
        <v>3.18</v>
      </c>
      <c r="F299" s="100">
        <v>0.85</v>
      </c>
      <c r="G299" s="100">
        <v>0.99</v>
      </c>
      <c r="H299" s="100">
        <v>0.99</v>
      </c>
      <c r="I299" s="100">
        <v>0.94</v>
      </c>
    </row>
    <row r="300" spans="1:9" ht="14.5" customHeight="1" x14ac:dyDescent="0.35">
      <c r="A300" s="12"/>
      <c r="B300" s="73" t="s">
        <v>261</v>
      </c>
      <c r="C300" s="13"/>
      <c r="D300" s="90"/>
      <c r="E300" s="90"/>
      <c r="F300" s="90"/>
      <c r="G300" s="90"/>
      <c r="H300" s="90"/>
      <c r="I300" s="100">
        <v>0.59</v>
      </c>
    </row>
    <row r="301" spans="1:9" ht="14.5" customHeight="1" x14ac:dyDescent="0.35">
      <c r="A301" s="12"/>
      <c r="B301" s="73" t="s">
        <v>262</v>
      </c>
      <c r="C301" s="13"/>
      <c r="D301" s="100">
        <v>5.3</v>
      </c>
      <c r="E301" s="100">
        <v>6.03</v>
      </c>
      <c r="F301" s="100">
        <v>2.83</v>
      </c>
      <c r="G301" s="100">
        <v>3.48</v>
      </c>
      <c r="H301" s="100">
        <v>3.3</v>
      </c>
      <c r="I301" s="100">
        <v>3.22</v>
      </c>
    </row>
    <row r="302" spans="1:9" ht="14.5" customHeight="1" x14ac:dyDescent="0.35">
      <c r="A302" s="12"/>
      <c r="B302" s="73" t="s">
        <v>263</v>
      </c>
      <c r="C302" s="13"/>
      <c r="D302" s="100">
        <v>0.98</v>
      </c>
      <c r="E302" s="100">
        <v>0.9</v>
      </c>
      <c r="F302" s="100">
        <v>0.94</v>
      </c>
      <c r="G302" s="100">
        <v>0.92</v>
      </c>
      <c r="H302" s="100">
        <v>0.94</v>
      </c>
      <c r="I302" s="100">
        <v>0.44</v>
      </c>
    </row>
    <row r="303" spans="1:9" ht="14.5" customHeight="1" x14ac:dyDescent="0.35">
      <c r="A303" s="12"/>
      <c r="B303" s="73" t="s">
        <v>264</v>
      </c>
      <c r="C303" s="13"/>
      <c r="D303" s="100">
        <v>40.090000000000003</v>
      </c>
      <c r="E303" s="100">
        <v>53.23</v>
      </c>
      <c r="F303" s="90"/>
      <c r="G303" s="100">
        <v>97.08</v>
      </c>
      <c r="H303" s="100">
        <v>94.16</v>
      </c>
      <c r="I303" s="100">
        <v>91.69</v>
      </c>
    </row>
    <row r="304" spans="1:9" ht="14.5" customHeight="1" x14ac:dyDescent="0.35">
      <c r="A304" s="12"/>
      <c r="B304" s="73" t="s">
        <v>265</v>
      </c>
      <c r="C304" s="13"/>
      <c r="D304" s="100">
        <v>2.44</v>
      </c>
      <c r="E304" s="100">
        <v>2.12</v>
      </c>
      <c r="F304" s="100">
        <v>4.5</v>
      </c>
      <c r="G304" s="100">
        <v>6.84</v>
      </c>
      <c r="H304" s="100">
        <v>5.68</v>
      </c>
      <c r="I304" s="100">
        <v>3.18</v>
      </c>
    </row>
    <row r="305" spans="1:9" ht="14.5" customHeight="1" x14ac:dyDescent="0.35">
      <c r="A305" s="12"/>
      <c r="B305" s="73" t="s">
        <v>266</v>
      </c>
      <c r="C305" s="13"/>
      <c r="D305" s="100">
        <v>16.11</v>
      </c>
      <c r="E305" s="100">
        <v>12.96</v>
      </c>
      <c r="F305" s="100">
        <v>0.71</v>
      </c>
      <c r="G305" s="100">
        <v>2.1800000000000002</v>
      </c>
      <c r="H305" s="100">
        <v>2.86</v>
      </c>
      <c r="I305" s="100">
        <v>0.51</v>
      </c>
    </row>
    <row r="306" spans="1:9" ht="14.5" customHeight="1" x14ac:dyDescent="0.35">
      <c r="A306" s="12"/>
      <c r="B306" s="73" t="s">
        <v>267</v>
      </c>
      <c r="C306" s="13"/>
      <c r="D306" s="100">
        <v>0.98</v>
      </c>
      <c r="E306" s="100">
        <v>1.1299999999999999</v>
      </c>
      <c r="F306" s="100">
        <v>4.5999999999999996</v>
      </c>
      <c r="G306" s="100">
        <v>6.64</v>
      </c>
      <c r="H306" s="100">
        <v>5.35</v>
      </c>
      <c r="I306" s="100">
        <v>2.92</v>
      </c>
    </row>
    <row r="307" spans="1:9" ht="14.5" customHeight="1" x14ac:dyDescent="0.35">
      <c r="A307" s="12"/>
      <c r="B307" s="73" t="s">
        <v>268</v>
      </c>
      <c r="C307" s="13"/>
      <c r="D307" s="100">
        <v>18.850000000000001</v>
      </c>
      <c r="E307" s="100">
        <v>16.59</v>
      </c>
      <c r="F307" s="100">
        <v>35.33</v>
      </c>
      <c r="G307" s="100">
        <v>28.78</v>
      </c>
      <c r="H307" s="100">
        <v>30.35</v>
      </c>
      <c r="I307" s="100">
        <v>31.08</v>
      </c>
    </row>
    <row r="308" spans="1:9" ht="14.5" customHeight="1" x14ac:dyDescent="0.35">
      <c r="A308" s="12"/>
      <c r="B308" s="73" t="s">
        <v>269</v>
      </c>
      <c r="C308" s="13"/>
      <c r="D308" s="100">
        <v>0.26</v>
      </c>
      <c r="E308" s="100">
        <v>0.22</v>
      </c>
      <c r="F308" s="100">
        <v>0.6</v>
      </c>
      <c r="G308" s="100">
        <v>0.45</v>
      </c>
      <c r="H308" s="100">
        <v>0.49</v>
      </c>
      <c r="I308" s="100">
        <v>0.48</v>
      </c>
    </row>
    <row r="309" spans="1:9" ht="14.5" customHeight="1" x14ac:dyDescent="0.35">
      <c r="A309" s="12"/>
      <c r="B309" s="73" t="s">
        <v>270</v>
      </c>
      <c r="C309" s="13"/>
      <c r="D309" s="100">
        <v>16349850</v>
      </c>
      <c r="E309" s="100">
        <v>26859060</v>
      </c>
      <c r="F309" s="100">
        <v>61830203</v>
      </c>
      <c r="G309" s="100">
        <v>63545763</v>
      </c>
      <c r="H309" s="100">
        <v>67426000</v>
      </c>
      <c r="I309" s="100">
        <v>71836000</v>
      </c>
    </row>
    <row r="310" spans="1:9" ht="14.5" customHeight="1" x14ac:dyDescent="0.35">
      <c r="A310" s="12"/>
      <c r="B310" s="73" t="s">
        <v>271</v>
      </c>
      <c r="C310" s="13"/>
      <c r="D310" s="100">
        <v>2.19</v>
      </c>
      <c r="E310" s="100">
        <v>2.74</v>
      </c>
      <c r="F310" s="100">
        <v>1.29</v>
      </c>
      <c r="G310" s="100">
        <v>1.67</v>
      </c>
      <c r="H310" s="100">
        <v>1.53</v>
      </c>
      <c r="I310" s="100">
        <v>1.58</v>
      </c>
    </row>
    <row r="311" spans="1:9" ht="14.5" customHeight="1" x14ac:dyDescent="0.35">
      <c r="A311" s="12"/>
      <c r="B311" s="73" t="s">
        <v>272</v>
      </c>
      <c r="C311" s="13"/>
      <c r="D311" s="100">
        <v>2.54</v>
      </c>
      <c r="E311" s="100">
        <v>3.65</v>
      </c>
      <c r="F311" s="100">
        <v>31.13</v>
      </c>
      <c r="G311" s="100">
        <v>6.72</v>
      </c>
      <c r="H311" s="100">
        <v>6.53</v>
      </c>
      <c r="I311" s="100">
        <v>63.95</v>
      </c>
    </row>
    <row r="312" spans="1:9" ht="14.5" customHeight="1" x14ac:dyDescent="0.35">
      <c r="A312" s="12"/>
      <c r="B312" s="14"/>
      <c r="C312" s="14"/>
      <c r="D312" s="7"/>
      <c r="E312" s="7"/>
      <c r="F312" s="7"/>
      <c r="G312" s="7"/>
      <c r="H312" s="7"/>
      <c r="I312" s="88"/>
    </row>
    <row r="313" spans="1:9" ht="14.5" customHeight="1" x14ac:dyDescent="0.35">
      <c r="A313" s="9"/>
      <c r="B313" s="71" t="s">
        <v>273</v>
      </c>
      <c r="C313" s="10"/>
      <c r="D313" s="11"/>
      <c r="E313" s="11"/>
      <c r="F313" s="11"/>
      <c r="G313" s="11"/>
      <c r="H313" s="11"/>
      <c r="I313" s="94"/>
    </row>
    <row r="314" spans="1:9" ht="14.5" customHeight="1" x14ac:dyDescent="0.35">
      <c r="A314" s="12"/>
      <c r="B314" s="14"/>
      <c r="C314" s="14"/>
      <c r="D314" s="7"/>
      <c r="E314" s="7"/>
      <c r="F314" s="7"/>
      <c r="G314" s="7"/>
      <c r="H314" s="7"/>
      <c r="I314" s="88"/>
    </row>
    <row r="315" spans="1:9" ht="14.5" customHeight="1" x14ac:dyDescent="0.35">
      <c r="A315" s="12"/>
      <c r="B315" s="73" t="s">
        <v>274</v>
      </c>
      <c r="C315" s="13"/>
      <c r="D315" s="100">
        <v>1.02</v>
      </c>
      <c r="E315" s="100">
        <v>0.84</v>
      </c>
      <c r="F315" s="100">
        <v>0.44</v>
      </c>
      <c r="G315" s="100">
        <v>0.49</v>
      </c>
      <c r="H315" s="100">
        <v>0.46</v>
      </c>
      <c r="I315" s="100">
        <v>0.49</v>
      </c>
    </row>
    <row r="316" spans="1:9" ht="14.5" customHeight="1" x14ac:dyDescent="0.35">
      <c r="A316" s="12"/>
      <c r="B316" s="73" t="s">
        <v>275</v>
      </c>
      <c r="C316" s="13"/>
      <c r="D316" s="100">
        <v>2.02</v>
      </c>
      <c r="E316" s="100">
        <v>2.1</v>
      </c>
      <c r="F316" s="100">
        <v>2.68</v>
      </c>
      <c r="G316" s="100">
        <v>2.25</v>
      </c>
      <c r="H316" s="100">
        <v>1.93</v>
      </c>
      <c r="I316" s="100">
        <v>1.98</v>
      </c>
    </row>
    <row r="317" spans="1:9" ht="14.5" customHeight="1" x14ac:dyDescent="0.35">
      <c r="A317" s="12"/>
      <c r="B317" s="73" t="s">
        <v>276</v>
      </c>
      <c r="C317" s="13"/>
      <c r="D317" s="100">
        <v>12.78</v>
      </c>
      <c r="E317" s="100">
        <v>5.07</v>
      </c>
      <c r="F317" s="100">
        <v>4.16</v>
      </c>
      <c r="G317" s="100">
        <v>8.93</v>
      </c>
      <c r="H317" s="100">
        <v>14.15</v>
      </c>
      <c r="I317" s="100">
        <v>8.49</v>
      </c>
    </row>
    <row r="318" spans="1:9" ht="14.5" customHeight="1" x14ac:dyDescent="0.35">
      <c r="A318" s="12"/>
      <c r="B318" s="73" t="s">
        <v>277</v>
      </c>
      <c r="C318" s="13"/>
      <c r="D318" s="100">
        <v>57.04</v>
      </c>
      <c r="E318" s="100">
        <v>60.08</v>
      </c>
      <c r="F318" s="100">
        <v>43.61</v>
      </c>
      <c r="G318" s="100">
        <v>55.17</v>
      </c>
      <c r="H318" s="100">
        <v>76.8</v>
      </c>
      <c r="I318" s="100">
        <v>64.41</v>
      </c>
    </row>
    <row r="319" spans="1:9" ht="14.5" customHeight="1" x14ac:dyDescent="0.35">
      <c r="A319" s="12"/>
      <c r="B319" s="73" t="s">
        <v>278</v>
      </c>
      <c r="C319" s="13"/>
      <c r="D319" s="100">
        <v>142.05000000000001</v>
      </c>
      <c r="E319" s="100">
        <v>147.9</v>
      </c>
      <c r="F319" s="100">
        <v>106.36</v>
      </c>
      <c r="G319" s="100">
        <v>146.94999999999999</v>
      </c>
      <c r="H319" s="100">
        <v>212.67</v>
      </c>
      <c r="I319" s="100">
        <v>163.88</v>
      </c>
    </row>
    <row r="320" spans="1:9" ht="14.5" customHeight="1" x14ac:dyDescent="0.35">
      <c r="A320" s="12"/>
      <c r="B320" s="73" t="s">
        <v>279</v>
      </c>
      <c r="C320" s="13"/>
      <c r="D320" s="100">
        <v>77.41</v>
      </c>
      <c r="E320" s="100">
        <v>72.02</v>
      </c>
      <c r="F320" s="100">
        <v>68.400000000000006</v>
      </c>
      <c r="G320" s="100">
        <v>78.3</v>
      </c>
      <c r="H320" s="100">
        <v>81.7</v>
      </c>
      <c r="I320" s="100">
        <v>71.14</v>
      </c>
    </row>
    <row r="321" spans="1:9" ht="14.5" customHeight="1" x14ac:dyDescent="0.35">
      <c r="A321" s="12"/>
      <c r="B321" s="73" t="s">
        <v>280</v>
      </c>
      <c r="C321" s="13"/>
      <c r="D321" s="100">
        <v>115.01</v>
      </c>
      <c r="E321" s="100">
        <v>145.22999999999999</v>
      </c>
      <c r="F321" s="100">
        <v>125.44</v>
      </c>
      <c r="G321" s="100">
        <v>129.47999999999999</v>
      </c>
      <c r="H321" s="100">
        <v>144.18</v>
      </c>
      <c r="I321" s="100">
        <v>114.45</v>
      </c>
    </row>
    <row r="322" spans="1:9" ht="14.5" customHeight="1" x14ac:dyDescent="0.35">
      <c r="A322" s="12"/>
      <c r="B322" s="73" t="s">
        <v>281</v>
      </c>
      <c r="C322" s="13"/>
      <c r="D322" s="100">
        <v>104.44</v>
      </c>
      <c r="E322" s="100">
        <v>74.69</v>
      </c>
      <c r="F322" s="100">
        <v>49.32</v>
      </c>
      <c r="G322" s="100">
        <v>95.78</v>
      </c>
      <c r="H322" s="100">
        <v>150.19</v>
      </c>
      <c r="I322" s="100">
        <v>120.57</v>
      </c>
    </row>
    <row r="323" spans="1:9" ht="14.5" customHeight="1" x14ac:dyDescent="0.35">
      <c r="A323" s="12"/>
      <c r="B323" s="14"/>
      <c r="C323" s="14"/>
      <c r="D323" s="7"/>
      <c r="E323" s="7"/>
      <c r="F323" s="7"/>
      <c r="G323" s="7"/>
      <c r="H323" s="7"/>
      <c r="I323" s="88"/>
    </row>
    <row r="324" spans="1:9" ht="14.5" customHeight="1" x14ac:dyDescent="0.35">
      <c r="A324" s="9"/>
      <c r="B324" s="71" t="s">
        <v>282</v>
      </c>
      <c r="C324" s="10"/>
      <c r="D324" s="11"/>
      <c r="E324" s="11"/>
      <c r="F324" s="11"/>
      <c r="G324" s="11"/>
      <c r="H324" s="11"/>
      <c r="I324" s="94"/>
    </row>
    <row r="325" spans="1:9" ht="14.5" customHeight="1" x14ac:dyDescent="0.35">
      <c r="A325" s="12"/>
      <c r="B325" s="14"/>
      <c r="C325" s="14"/>
      <c r="D325" s="7"/>
      <c r="E325" s="7"/>
      <c r="F325" s="7"/>
      <c r="G325" s="7"/>
      <c r="H325" s="7"/>
      <c r="I325" s="88"/>
    </row>
    <row r="326" spans="1:9" ht="14.5" customHeight="1" x14ac:dyDescent="0.35">
      <c r="A326" s="12"/>
      <c r="B326" s="73" t="s">
        <v>283</v>
      </c>
      <c r="C326" s="13"/>
      <c r="D326" s="87">
        <v>8658195</v>
      </c>
      <c r="E326" s="87">
        <v>8760499</v>
      </c>
      <c r="F326" s="87">
        <v>2023202</v>
      </c>
      <c r="G326" s="87">
        <v>9825114</v>
      </c>
      <c r="H326" s="87">
        <v>10769000</v>
      </c>
      <c r="I326" s="87">
        <v>1175000</v>
      </c>
    </row>
    <row r="327" spans="1:9" ht="14.5" customHeight="1" x14ac:dyDescent="0.35">
      <c r="A327" s="12"/>
      <c r="B327" s="73" t="s">
        <v>284</v>
      </c>
      <c r="C327" s="13"/>
      <c r="D327" s="100">
        <v>15.78</v>
      </c>
      <c r="E327" s="100">
        <v>14.59</v>
      </c>
      <c r="F327" s="100">
        <v>3.28</v>
      </c>
      <c r="G327" s="100">
        <v>14.45</v>
      </c>
      <c r="H327" s="100">
        <v>15.28</v>
      </c>
      <c r="I327" s="100">
        <v>1.5</v>
      </c>
    </row>
    <row r="328" spans="1:9" ht="14.5" customHeight="1" x14ac:dyDescent="0.35">
      <c r="A328" s="12"/>
      <c r="B328" s="73" t="s">
        <v>285</v>
      </c>
      <c r="C328" s="13"/>
      <c r="D328" s="100">
        <v>12.63</v>
      </c>
      <c r="E328" s="100">
        <v>8.4600000000000009</v>
      </c>
      <c r="F328" s="100">
        <v>-4.03</v>
      </c>
      <c r="G328" s="100">
        <v>-3.18</v>
      </c>
      <c r="H328" s="100">
        <v>3.06</v>
      </c>
      <c r="I328" s="100">
        <v>-4.3499999999999996</v>
      </c>
    </row>
    <row r="329" spans="1:9" ht="14.5" customHeight="1" x14ac:dyDescent="0.35">
      <c r="A329" s="12"/>
      <c r="B329" s="73" t="s">
        <v>286</v>
      </c>
      <c r="C329" s="13"/>
      <c r="D329" s="100">
        <v>21.01</v>
      </c>
      <c r="E329" s="100">
        <v>13.63</v>
      </c>
      <c r="F329" s="100">
        <v>-4.99</v>
      </c>
      <c r="G329" s="100">
        <v>-4.1399999999999997</v>
      </c>
      <c r="H329" s="100">
        <v>3.99</v>
      </c>
      <c r="I329" s="100">
        <v>-5.42</v>
      </c>
    </row>
    <row r="330" spans="1:9" ht="14.5" customHeight="1" x14ac:dyDescent="0.35">
      <c r="A330" s="12"/>
      <c r="B330" s="73" t="s">
        <v>287</v>
      </c>
      <c r="C330" s="13"/>
      <c r="D330" s="100">
        <v>12.27</v>
      </c>
      <c r="E330" s="100">
        <v>9.9</v>
      </c>
      <c r="F330" s="100">
        <v>-9.06</v>
      </c>
      <c r="G330" s="100">
        <v>-6.42</v>
      </c>
      <c r="H330" s="100">
        <v>6.58</v>
      </c>
      <c r="I330" s="100">
        <v>-8.5</v>
      </c>
    </row>
    <row r="331" spans="1:9" ht="14.5" customHeight="1" x14ac:dyDescent="0.35">
      <c r="A331" s="12"/>
      <c r="B331" s="73" t="s">
        <v>288</v>
      </c>
      <c r="C331" s="13"/>
      <c r="D331" s="100">
        <v>36.619999999999997</v>
      </c>
      <c r="E331" s="100">
        <v>32.58</v>
      </c>
      <c r="F331" s="100">
        <v>-15.77</v>
      </c>
      <c r="G331" s="100">
        <v>-24.31</v>
      </c>
      <c r="H331" s="100">
        <v>0.87</v>
      </c>
      <c r="I331" s="100">
        <v>-15.6</v>
      </c>
    </row>
    <row r="332" spans="1:9" ht="14.5" customHeight="1" x14ac:dyDescent="0.35">
      <c r="A332" s="12"/>
      <c r="B332" s="73" t="s">
        <v>289</v>
      </c>
      <c r="C332" s="13"/>
      <c r="D332" s="100">
        <v>54.65</v>
      </c>
      <c r="E332" s="100">
        <v>63.86</v>
      </c>
      <c r="F332" s="90"/>
      <c r="G332" s="90"/>
      <c r="H332" s="100">
        <v>8.6199999999999992</v>
      </c>
      <c r="I332" s="90"/>
    </row>
    <row r="333" spans="1:9" ht="14.5" customHeight="1" x14ac:dyDescent="0.35">
      <c r="A333" s="12"/>
      <c r="B333" s="14"/>
      <c r="C333" s="14"/>
      <c r="D333" s="7"/>
      <c r="E333" s="7"/>
      <c r="F333" s="7"/>
      <c r="G333" s="7"/>
      <c r="H333" s="7"/>
      <c r="I333" s="88"/>
    </row>
    <row r="334" spans="1:9" ht="14.5" customHeight="1" x14ac:dyDescent="0.35">
      <c r="A334" s="9"/>
      <c r="B334" s="71" t="s">
        <v>290</v>
      </c>
      <c r="C334" s="10"/>
      <c r="D334" s="11"/>
      <c r="E334" s="11"/>
      <c r="F334" s="11"/>
      <c r="G334" s="11"/>
      <c r="H334" s="11"/>
      <c r="I334" s="94"/>
    </row>
    <row r="335" spans="1:9" ht="14.5" customHeight="1" x14ac:dyDescent="0.35">
      <c r="A335" s="12"/>
      <c r="B335" s="14"/>
      <c r="C335" s="14"/>
      <c r="D335" s="7"/>
      <c r="E335" s="7"/>
      <c r="F335" s="7"/>
      <c r="G335" s="7"/>
      <c r="H335" s="7"/>
      <c r="I335" s="88"/>
    </row>
    <row r="336" spans="1:9" ht="14.5" customHeight="1" x14ac:dyDescent="0.35">
      <c r="A336" s="12"/>
      <c r="B336" s="73" t="s">
        <v>291</v>
      </c>
      <c r="C336" s="13"/>
      <c r="D336" s="99">
        <v>90</v>
      </c>
      <c r="E336" s="99">
        <v>94</v>
      </c>
      <c r="F336" s="99">
        <v>104</v>
      </c>
      <c r="G336" s="99">
        <v>116</v>
      </c>
      <c r="H336" s="99">
        <v>129</v>
      </c>
      <c r="I336" s="99">
        <v>125</v>
      </c>
    </row>
    <row r="337" spans="1:9" ht="14.5" customHeight="1" x14ac:dyDescent="0.35">
      <c r="A337" s="12"/>
      <c r="B337" s="73" t="s">
        <v>292</v>
      </c>
      <c r="C337" s="13"/>
      <c r="D337" s="99">
        <v>609640</v>
      </c>
      <c r="E337" s="99">
        <v>638620</v>
      </c>
      <c r="F337" s="99">
        <v>592770</v>
      </c>
      <c r="G337" s="99">
        <v>586040</v>
      </c>
      <c r="H337" s="99">
        <v>546190</v>
      </c>
      <c r="I337" s="90"/>
    </row>
    <row r="338" spans="1:9" ht="14.5" customHeight="1" x14ac:dyDescent="0.35">
      <c r="A338" s="12"/>
      <c r="B338" s="73" t="s">
        <v>293</v>
      </c>
      <c r="C338" s="13"/>
      <c r="D338" s="99">
        <v>140870</v>
      </c>
      <c r="E338" s="99">
        <v>144780</v>
      </c>
      <c r="F338" s="99">
        <v>133060</v>
      </c>
      <c r="G338" s="99">
        <v>147040</v>
      </c>
      <c r="H338" s="99">
        <v>139160</v>
      </c>
      <c r="I338" s="99">
        <v>270520</v>
      </c>
    </row>
    <row r="339" spans="1:9" ht="14.5" customHeight="1" x14ac:dyDescent="0.35">
      <c r="A339" s="12"/>
      <c r="B339" s="73" t="s">
        <v>294</v>
      </c>
      <c r="C339" s="13"/>
      <c r="D339" s="100">
        <v>44670</v>
      </c>
      <c r="E339" s="100">
        <v>51580</v>
      </c>
      <c r="F339" s="100">
        <v>57630</v>
      </c>
      <c r="G339" s="100">
        <v>58380</v>
      </c>
      <c r="H339" s="100">
        <v>55680</v>
      </c>
      <c r="I339" s="90"/>
    </row>
    <row r="340" spans="1:9" ht="14.5" customHeight="1" x14ac:dyDescent="0.35">
      <c r="A340" s="12"/>
      <c r="B340" s="73" t="s">
        <v>295</v>
      </c>
      <c r="C340" s="13"/>
      <c r="D340" s="100">
        <v>13.65</v>
      </c>
      <c r="E340" s="100">
        <v>12.38</v>
      </c>
      <c r="F340" s="100">
        <v>10.29</v>
      </c>
      <c r="G340" s="100">
        <v>10.039999999999999</v>
      </c>
      <c r="H340" s="100">
        <v>9.81</v>
      </c>
      <c r="I340" s="100">
        <v>14.01</v>
      </c>
    </row>
    <row r="341" spans="1:9" ht="14.5" customHeight="1" x14ac:dyDescent="0.35">
      <c r="A341" s="12"/>
      <c r="B341" s="14"/>
      <c r="C341" s="14"/>
      <c r="D341" s="7"/>
      <c r="E341" s="7"/>
      <c r="F341" s="7"/>
      <c r="G341" s="7"/>
      <c r="H341" s="7"/>
      <c r="I341" s="88"/>
    </row>
    <row r="342" spans="1:9" ht="14.5" customHeight="1" x14ac:dyDescent="0.35">
      <c r="A342" s="9"/>
      <c r="B342" s="71" t="s">
        <v>296</v>
      </c>
      <c r="C342" s="10"/>
      <c r="D342" s="11"/>
      <c r="E342" s="11"/>
      <c r="F342" s="11"/>
      <c r="G342" s="11"/>
      <c r="H342" s="11"/>
      <c r="I342" s="94"/>
    </row>
    <row r="343" spans="1:9" ht="14.5" customHeight="1" x14ac:dyDescent="0.35">
      <c r="A343" s="12"/>
      <c r="B343" s="14"/>
      <c r="C343" s="14"/>
      <c r="D343" s="7"/>
      <c r="E343" s="7"/>
      <c r="F343" s="7"/>
      <c r="G343" s="7"/>
      <c r="H343" s="7"/>
      <c r="I343" s="88"/>
    </row>
    <row r="344" spans="1:9" ht="14.5" customHeight="1" x14ac:dyDescent="0.35">
      <c r="A344" s="12"/>
      <c r="B344" s="73" t="s">
        <v>297</v>
      </c>
      <c r="C344" s="13"/>
      <c r="D344" s="87">
        <v>3904769</v>
      </c>
      <c r="E344" s="87">
        <v>506684</v>
      </c>
      <c r="F344" s="87">
        <v>1275376</v>
      </c>
      <c r="G344" s="87">
        <v>1244083</v>
      </c>
      <c r="H344" s="87">
        <v>5039000</v>
      </c>
      <c r="I344" s="87">
        <v>-58746000</v>
      </c>
    </row>
    <row r="345" spans="1:9" ht="14.5" customHeight="1" x14ac:dyDescent="0.35">
      <c r="A345" s="12"/>
      <c r="B345" s="73" t="s">
        <v>298</v>
      </c>
      <c r="C345" s="13"/>
      <c r="D345" s="87">
        <v>32814229</v>
      </c>
      <c r="E345" s="87">
        <v>35593546</v>
      </c>
      <c r="F345" s="87">
        <v>36187898</v>
      </c>
      <c r="G345" s="87">
        <v>42587743</v>
      </c>
      <c r="H345" s="87">
        <v>45015000</v>
      </c>
      <c r="I345" s="87">
        <v>44970000</v>
      </c>
    </row>
    <row r="346" spans="1:9" ht="14.5" customHeight="1" x14ac:dyDescent="0.35">
      <c r="A346" s="12"/>
      <c r="B346" s="73" t="s">
        <v>299</v>
      </c>
      <c r="C346" s="13"/>
      <c r="D346" s="87">
        <v>-5628179</v>
      </c>
      <c r="E346" s="87">
        <v>-10757842</v>
      </c>
      <c r="F346" s="87">
        <v>-8645917</v>
      </c>
      <c r="G346" s="87">
        <v>-11410520</v>
      </c>
      <c r="H346" s="87">
        <v>-12513000</v>
      </c>
      <c r="I346" s="87">
        <v>-77884000</v>
      </c>
    </row>
    <row r="347" spans="1:9" ht="14.5" customHeight="1" x14ac:dyDescent="0.35">
      <c r="A347" s="12"/>
      <c r="B347" s="73" t="s">
        <v>300</v>
      </c>
      <c r="C347" s="13"/>
      <c r="D347" s="87">
        <v>-15983217</v>
      </c>
      <c r="E347" s="87">
        <v>-29472367</v>
      </c>
      <c r="F347" s="87">
        <v>-66708953</v>
      </c>
      <c r="G347" s="87">
        <v>-67548462</v>
      </c>
      <c r="H347" s="87">
        <v>-69001000</v>
      </c>
      <c r="I347" s="87">
        <v>-66802000</v>
      </c>
    </row>
    <row r="348" spans="1:9" ht="14.5" customHeight="1" x14ac:dyDescent="0.35">
      <c r="A348" s="12"/>
      <c r="B348" s="73" t="s">
        <v>301</v>
      </c>
      <c r="C348" s="13"/>
      <c r="D348" s="100">
        <v>5604276</v>
      </c>
      <c r="E348" s="100">
        <v>6612125</v>
      </c>
      <c r="F348" s="100">
        <v>-105492</v>
      </c>
      <c r="G348" s="100">
        <v>4603904</v>
      </c>
      <c r="H348" s="100">
        <v>6530000</v>
      </c>
      <c r="I348" s="100">
        <v>406000</v>
      </c>
    </row>
    <row r="349" spans="1:9" ht="14.5" customHeight="1" x14ac:dyDescent="0.35">
      <c r="A349" s="12"/>
      <c r="B349" s="14"/>
      <c r="C349" s="14"/>
      <c r="D349" s="14"/>
      <c r="E349" s="14"/>
      <c r="F349" s="14"/>
      <c r="G349" s="14"/>
      <c r="H349" s="14"/>
      <c r="I349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Ownership</vt:lpstr>
      <vt:lpstr>NetDebt</vt:lpstr>
      <vt:lpstr>Reclassified BS</vt:lpstr>
      <vt:lpstr>Profit&amp;Loss</vt:lpstr>
      <vt:lpstr>CashFlow</vt:lpstr>
      <vt:lpstr>Ratios</vt:lpstr>
      <vt:lpstr>AIDA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HAMZA AIT MOUSSA</cp:lastModifiedBy>
  <dcterms:modified xsi:type="dcterms:W3CDTF">2024-02-29T17:04:31Z</dcterms:modified>
</cp:coreProperties>
</file>